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<sst xmlns="http://schemas.openxmlformats.org/spreadsheetml/2006/main" count="112" uniqueCount="100">
  <si>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Adyen N.V. (ADYEN.AS)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</si>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</sst>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-0.3333913739624865</v>
      </c>
    </row>
    <row r="7" spans="1:2" x14ac:dyDescent="0.25">
      <c r="A7" t="s">
        <v>5</v>
      </c>
      <c r="B7" s="6">
        <v>0.3116262359799169</v>
      </c>
    </row>
    <row r="8" spans="1:2" x14ac:dyDescent="0.25">
      <c r="A8" t="s">
        <v>6</v>
      </c>
      <c r="B8" s="6">
        <v>0.2418034510088629</v>
      </c>
    </row>
    <row r="9" spans="1:2" x14ac:dyDescent="0.25">
      <c r="A9" t="s">
        <v>7</v>
      </c>
      <c r="B9" s="6">
        <v>0.037809504684515015</v>
      </c>
    </row>
    <row r="10" spans="1:2" x14ac:dyDescent="0.25">
      <c r="A10" t="s">
        <v>8</v>
      </c>
      <c r="B10" s="6">
        <v>0.03538387934984893</v>
      </c>
    </row>
    <row r="11" spans="1:2" x14ac:dyDescent="0.25">
      <c r="A11" t="s">
        <v>9</v>
      </c>
      <c r="B11" s="6">
        <v>0.14301155014595873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14.241784924296839</v>
      </c>
    </row>
    <row r="14" spans="1:3" x14ac:dyDescent="0.25">
      <c r="A14" t="s">
        <v>12</v>
      </c>
      <c r="B14" s="6">
        <v>0.16066555173631653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1.58759</v>
      </c>
      <c r="C19" s="8" t="s">
        <v>19</v>
      </c>
    </row>
    <row r="20" spans="1:2" x14ac:dyDescent="0.25">
      <c r="A20" t="s">
        <v>20</v>
      </c>
      <c r="B20" s="10">
        <f>B17+B19*B18</f>
        <v>0.14519335</v>
      </c>
    </row>
    <row r="21" spans="1:3" x14ac:dyDescent="0.25">
      <c r="A21" t="s">
        <v>21</v>
      </c>
      <c r="B21" s="6">
        <v>0.0819771046685337</v>
      </c>
      <c r="C21" s="8" t="s">
        <v>22</v>
      </c>
    </row>
    <row r="22" spans="1:2" x14ac:dyDescent="0.25">
      <c r="A22" t="s">
        <v>23</v>
      </c>
      <c r="B22" s="11">
        <v>27750264832</v>
      </c>
    </row>
    <row r="23" spans="1:2" x14ac:dyDescent="0.25">
      <c r="A23" t="s">
        <v>24</v>
      </c>
      <c r="B23" s="11">
        <v>252366000</v>
      </c>
    </row>
    <row r="24" spans="1:2" x14ac:dyDescent="0.25">
      <c r="A24" t="s">
        <v>25</v>
      </c>
      <c r="B24" s="10">
        <f>B22/(B22+B23)</f>
        <v>0.9909877753446077</v>
      </c>
    </row>
    <row r="25" spans="1:2" x14ac:dyDescent="0.25">
      <c r="A25" t="s">
        <v>26</v>
      </c>
      <c r="B25" s="10">
        <f>1-B24</f>
        <v>0.009012224655392309</v>
      </c>
    </row>
    <row r="26" spans="1:2" x14ac:dyDescent="0.25">
      <c r="A26" t="s">
        <v>27</v>
      </c>
      <c r="B26" s="12">
        <f>B24*B20+B25*B21*(1-B8)</f>
        <v>0.1444449875525305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2646897000</v>
      </c>
      <c r="C29" s="8" t="s">
        <v>30</v>
      </c>
    </row>
    <row r="30" spans="1:2" x14ac:dyDescent="0.25">
      <c r="A30" t="s">
        <v>31</v>
      </c>
      <c r="B30" s="11">
        <v>-10202748000</v>
      </c>
    </row>
    <row r="31" spans="1:2" x14ac:dyDescent="0.25">
      <c r="A31" t="s">
        <v>32</v>
      </c>
      <c r="B31" s="13">
        <v>31610806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-0.3333913739624865</v>
      </c>
      <c r="C5" s="10">
        <f>Assumptions!B6</f>
        <v>-0.3333913739624865</v>
      </c>
      <c r="D5" s="10">
        <f>Assumptions!B6</f>
        <v>-0.3333913739624865</v>
      </c>
      <c r="E5" s="10">
        <f>Assumptions!B6</f>
        <v>-0.3333913739624865</v>
      </c>
      <c r="F5" s="10">
        <f>Assumptions!B6</f>
        <v>-0.3333913739624865</v>
      </c>
    </row>
    <row r="6" spans="1:6" x14ac:dyDescent="0.25">
      <c r="A6" t="s">
        <v>43</v>
      </c>
      <c r="B6" s="18">
        <f>Assumptions!B29*(1+B5)</f>
        <v>1764444372.4328163</v>
      </c>
      <c r="C6" s="18">
        <f>B6*(1+C5)</f>
        <v>1176193838.8270624</v>
      </c>
      <c r="D6" s="18">
        <f>C6*(1+D5)</f>
        <v>784060958.8542966</v>
      </c>
      <c r="E6" s="18">
        <f>D6*(1+E5)</f>
        <v>522661798.511518</v>
      </c>
      <c r="F6" s="18">
        <f>E6*(1+F5)</f>
        <v>348410863.3880587</v>
      </c>
    </row>
    <row r="7" spans="1:6" x14ac:dyDescent="0.25">
      <c r="A7" t="s">
        <v>5</v>
      </c>
      <c r="B7" s="10">
        <f>Assumptions!B7</f>
        <v>0.3116262359799169</v>
      </c>
      <c r="C7" s="10">
        <f>Assumptions!B7</f>
        <v>0.3116262359799169</v>
      </c>
      <c r="D7" s="10">
        <f>Assumptions!B7</f>
        <v>0.3116262359799169</v>
      </c>
      <c r="E7" s="10">
        <f>Assumptions!B7</f>
        <v>0.3116262359799169</v>
      </c>
      <c r="F7" s="10">
        <f>Assumptions!B7</f>
        <v>0.3116262359799169</v>
      </c>
    </row>
    <row r="8" spans="1:6" x14ac:dyDescent="0.25">
      <c r="A8" t="s">
        <v>44</v>
      </c>
      <c r="B8" s="18">
        <f>B6*B7</f>
        <v>549847158.3771852</v>
      </c>
      <c r="C8" s="18">
        <f>C6*C7</f>
        <v>366532858.77644646</v>
      </c>
      <c r="D8" s="18">
        <f>D6*D7</f>
        <v>244333965.38656893</v>
      </c>
      <c r="E8" s="18">
        <f>E6*E7</f>
        <v>162875128.96063808</v>
      </c>
      <c r="F8" s="18">
        <f>F6*F7</f>
        <v>108573965.93213378</v>
      </c>
    </row>
    <row r="9" spans="1:6" x14ac:dyDescent="0.25">
      <c r="A9" t="s">
        <v>45</v>
      </c>
      <c r="B9" s="18">
        <f>B8*(1-Assumptions!B8)</f>
        <v>416892217.95416504</v>
      </c>
      <c r="C9" s="18">
        <f>C8*(1-Assumptions!B8)</f>
        <v>277903948.61615753</v>
      </c>
      <c r="D9" s="18">
        <f>D8*(1-Assumptions!B8)</f>
        <v>185253169.3574165</v>
      </c>
      <c r="E9" s="18">
        <f>E8*(1-Assumptions!B8)</f>
        <v>123491360.6944422</v>
      </c>
      <c r="F9" s="18">
        <f>F8*(1-Assumptions!B8)</f>
        <v>82320406.28002512</v>
      </c>
    </row>
    <row r="10" spans="1:6" x14ac:dyDescent="0.25">
      <c r="A10" t="s">
        <v>46</v>
      </c>
      <c r="B10" s="18">
        <f>B6*Assumptions!B9</f>
        <v>66712767.765064724</v>
      </c>
      <c r="C10" s="18">
        <f>C6*Assumptions!B9</f>
        <v>44471306.45902951</v>
      </c>
      <c r="D10" s="18">
        <f>D6*Assumptions!B9</f>
        <v>29644956.49674686</v>
      </c>
      <c r="E10" s="18">
        <f>E6*Assumptions!B9</f>
        <v>19761583.71923828</v>
      </c>
      <c r="F10" s="18">
        <f>F6*Assumptions!B9</f>
        <v>13173242.171406727</v>
      </c>
    </row>
    <row r="11" spans="1:6" x14ac:dyDescent="0.25">
      <c r="A11" t="s">
        <v>47</v>
      </c>
      <c r="B11" s="18">
        <f>-B6*Assumptions!B10</f>
        <v>-62432886.79368268</v>
      </c>
      <c r="C11" s="18">
        <f>-C6*Assumptions!B10</f>
        <v>-41618300.88509243</v>
      </c>
      <c r="D11" s="18">
        <f>-D6*Assumptions!B10</f>
        <v>-27743118.371027295</v>
      </c>
      <c r="E11" s="18">
        <f>-E6*Assumptions!B10</f>
        <v>-18493802.019306604</v>
      </c>
      <c r="F11" s="18">
        <f>-F6*Assumptions!B10</f>
        <v>-12328127.954299767</v>
      </c>
    </row>
    <row r="12" spans="1:6" x14ac:dyDescent="0.25">
      <c r="A12" t="s">
        <v>48</v>
      </c>
      <c r="B12" s="18">
        <f>-(B6-Assumptions!B29)*Assumptions!B11</f>
        <v>126200918.19875734</v>
      </c>
      <c r="C12" s="18">
        <f>-(C6-B6)*Assumptions!B11</f>
        <v>84126620.68514626</v>
      </c>
      <c r="D12" s="18">
        <f>-(D6-C6)*Assumptions!B11</f>
        <v>56079531.02810442</v>
      </c>
      <c r="E12" s="18">
        <f>-(E6-D6)*Assumptions!B11</f>
        <v>37383099.12747278</v>
      </c>
      <c r="F12" s="18">
        <f>-(F6-E6)*Assumptions!B11</f>
        <v>24919896.3463888</v>
      </c>
    </row>
    <row r="13" spans="1:6" x14ac:dyDescent="0.25">
      <c r="A13" s="19" t="s">
        <v>49</v>
      </c>
      <c r="B13" s="20">
        <f>B9+B10+B11+B12</f>
        <v>547373017.1243044</v>
      </c>
      <c r="C13" s="20">
        <f>C9+C10+C11+C12</f>
        <v>364883574.87524086</v>
      </c>
      <c r="D13" s="20">
        <f>D9+D10+D11+D12</f>
        <v>243234538.5112405</v>
      </c>
      <c r="E13" s="20">
        <f>E9+E10+E11+E12</f>
        <v>162142241.52184668</v>
      </c>
      <c r="F13" s="20">
        <f>F9+F10+F11+F12</f>
        <v>108085416.8435209</v>
      </c>
    </row>
    <row r="14" spans="1:6" x14ac:dyDescent="0.25">
      <c r="A14" t="s">
        <v>50</v>
      </c>
      <c r="B14" s="21">
        <f>1/(1+Assumptions!$B$26)^(1-0.5*Assumptions!$B$32)</f>
        <v>0.9347652074733551</v>
      </c>
      <c r="C14" s="21">
        <f>1/(1+Assumptions!$B$26)^(2-0.5*Assumptions!$B$32)</f>
        <v>0.816784745129961</v>
      </c>
      <c r="D14" s="21">
        <f>1/(1+Assumptions!$B$26)^(3-0.5*Assumptions!$B$32)</f>
        <v>0.7136950696745223</v>
      </c>
      <c r="E14" s="21">
        <f>1/(1+Assumptions!$B$26)^(4-0.5*Assumptions!$B$32)</f>
        <v>0.6236167552280563</v>
      </c>
      <c r="F14" s="21">
        <f>1/(1+Assumptions!$B$26)^(5-0.5*Assumptions!$B$32)</f>
        <v>0.5449075857824333</v>
      </c>
    </row>
    <row r="15" spans="1:6" x14ac:dyDescent="0.25">
      <c r="A15" s="19" t="s">
        <v>51</v>
      </c>
      <c r="B15" s="20">
        <f>B13*B14</f>
        <v>511665251.91751677</v>
      </c>
      <c r="C15" s="20">
        <f>C13*C14</f>
        <v>298031337.70658267</v>
      </c>
      <c r="D15" s="20">
        <f>D13*D14</f>
        <v>173595290.9100301</v>
      </c>
      <c r="E15" s="20">
        <f>E13*E14</f>
        <v>101114618.54325785</v>
      </c>
      <c r="F15" s="20">
        <f>F13*F14</f>
        <v>58896563.550490916</v>
      </c>
    </row>
    <row r="17" spans="1:2" x14ac:dyDescent="0.25">
      <c r="A17" s="22" t="s">
        <v>52</v>
      </c>
      <c r="B17" s="23">
        <f>SUM(B15:F15)</f>
        <v>1143303062.6278784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108085416.8435209</v>
      </c>
    </row>
    <row r="5" spans="1:2" x14ac:dyDescent="0.25">
      <c r="A5" t="s">
        <v>56</v>
      </c>
      <c r="B5" s="18">
        <f>IF(Assumptions!$B$33=0,B4,B4-Forecast!F11-Forecast!F10-Forecast!F12)</f>
        <v>82659429.4504713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0.15560273954076898</v>
      </c>
    </row>
    <row r="7" spans="1:2" x14ac:dyDescent="0.25">
      <c r="A7" t="s">
        <v>58</v>
      </c>
      <c r="B7" s="18">
        <f>-MAX(Forecast!F9,0)*B6</f>
        <v>-12862033.671370253</v>
      </c>
    </row>
    <row r="8" spans="1:2" x14ac:dyDescent="0.25">
      <c r="A8" t="s">
        <v>59</v>
      </c>
      <c r="B8" s="18">
        <f>IF(OR(Assumptions!$B$33=0,Assumptions!B12&lt;=0),B5,MAX(B5+B7,0))</f>
        <v>69797395.77910104</v>
      </c>
    </row>
    <row r="9" spans="1:2" x14ac:dyDescent="0.25">
      <c r="A9" t="s">
        <v>60</v>
      </c>
      <c r="B9" s="18">
        <f>B8*(1+Assumptions!B12)/(Assumptions!B26-Assumptions!B12)</f>
        <v>598956324.0744203</v>
      </c>
    </row>
    <row r="10" spans="1:2" x14ac:dyDescent="0.25">
      <c r="A10" t="s">
        <v>61</v>
      </c>
      <c r="B10" s="18">
        <f>B9/(1+Assumptions!B26)^(5-0.5*Assumptions!B32)</f>
        <v>326375844.5405131</v>
      </c>
    </row>
    <row r="11" spans="1:2" x14ac:dyDescent="0.25">
      <c r="A11" t="s">
        <v>62</v>
      </c>
      <c r="B11" s="18">
        <f>Forecast!B17+B10</f>
        <v>1469678907.1683915</v>
      </c>
    </row>
    <row r="12" spans="1:2" x14ac:dyDescent="0.25">
      <c r="A12" t="s">
        <v>63</v>
      </c>
      <c r="B12" s="18">
        <f>-Assumptions!B30</f>
        <v>10202748000</v>
      </c>
    </row>
    <row r="13" spans="1:2" x14ac:dyDescent="0.25">
      <c r="A13" t="s">
        <v>64</v>
      </c>
      <c r="B13" s="18">
        <f>B11+B12</f>
        <v>11672426907.168392</v>
      </c>
    </row>
    <row r="14" spans="1:2" x14ac:dyDescent="0.25">
      <c r="A14" s="19" t="s">
        <v>65</v>
      </c>
      <c r="B14" s="24">
        <f>B13/Assumptions!B31</f>
        <v>369.2543273704692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121747208.10354051</v>
      </c>
    </row>
    <row r="18" spans="1:2" x14ac:dyDescent="0.25">
      <c r="A18" t="s">
        <v>60</v>
      </c>
      <c r="B18" s="18">
        <f>B17*Assumptions!B13</f>
        <v>1733897552.9442332</v>
      </c>
    </row>
    <row r="19" spans="1:2" x14ac:dyDescent="0.25">
      <c r="A19" t="s">
        <v>61</v>
      </c>
      <c r="B19" s="18">
        <f>B18/(1+Assumptions!B26)^(5-0.5*Assumptions!B32)</f>
        <v>944813929.5689108</v>
      </c>
    </row>
    <row r="20" spans="1:2" x14ac:dyDescent="0.25">
      <c r="A20" t="s">
        <v>62</v>
      </c>
      <c r="B20" s="18">
        <f>Forecast!B17+B19</f>
        <v>2088116992.1967893</v>
      </c>
    </row>
    <row r="21" spans="1:2" x14ac:dyDescent="0.25">
      <c r="A21" t="s">
        <v>63</v>
      </c>
      <c r="B21" s="18">
        <f>-Assumptions!B30</f>
        <v>10202748000</v>
      </c>
    </row>
    <row r="22" spans="1:2" x14ac:dyDescent="0.25">
      <c r="A22" t="s">
        <v>64</v>
      </c>
      <c r="B22" s="18">
        <f>B20+B21</f>
        <v>12290864992.196789</v>
      </c>
    </row>
    <row r="23" spans="1:2" x14ac:dyDescent="0.25">
      <c r="A23" s="19" t="s">
        <v>65</v>
      </c>
      <c r="B23" s="25">
        <f>B22/Assumptions!B31</f>
        <v>388.81846265472603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879.1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369.2543273704692</v>
      </c>
    </row>
    <row r="29" spans="1:2" x14ac:dyDescent="0.25">
      <c r="A29" s="19" t="s">
        <v>73</v>
      </c>
      <c r="B29" s="12">
        <f>B28/B26-1</f>
        <v>-0.5799632267427264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0.124445</v>
      </c>
      <c r="B5" s="31">
        <v>372.9003498764527</v>
      </c>
      <c r="C5" s="31">
        <v>373.11939206833887</v>
      </c>
      <c r="D5" s="31">
        <v>373.3556334835728</v>
      </c>
      <c r="E5" s="31">
        <v>373.61180574744134</v>
      </c>
      <c r="F5" s="31">
        <v>373.8912512796385</v>
      </c>
    </row>
    <row r="6" spans="1:6" x14ac:dyDescent="0.25">
      <c r="A6" s="30">
        <v>0.134445</v>
      </c>
      <c r="B6" s="31">
        <v>370.842216308007</v>
      </c>
      <c r="C6" s="31">
        <v>370.988723903952</v>
      </c>
      <c r="D6" s="31">
        <v>371.14440305779095</v>
      </c>
      <c r="E6" s="31">
        <v>371.3105709543427</v>
      </c>
      <c r="F6" s="31">
        <v>371.48880968562486</v>
      </c>
    </row>
    <row r="7" spans="1:6" x14ac:dyDescent="0.25">
      <c r="A7" s="30">
        <v>0.144445</v>
      </c>
      <c r="B7" s="31">
        <v>369.0591597558838</v>
      </c>
      <c r="C7" s="31">
        <v>369.15460339184517</v>
      </c>
      <c r="D7" s="32">
        <v>369.25432518504914</v>
      </c>
      <c r="E7" s="31">
        <v>369.3588858621211</v>
      </c>
      <c r="F7" s="31">
        <v>369.46894861697604</v>
      </c>
    </row>
    <row r="8" spans="1:6" x14ac:dyDescent="0.25">
      <c r="A8" s="30">
        <v>0.154445</v>
      </c>
      <c r="B8" s="31">
        <v>367.4936021668405</v>
      </c>
      <c r="C8" s="31">
        <v>367.55257637031974</v>
      </c>
      <c r="D8" s="31">
        <v>367.6128123831106</v>
      </c>
      <c r="E8" s="31">
        <v>367.6744622976208</v>
      </c>
      <c r="F8" s="31">
        <v>367.73770367277524</v>
      </c>
    </row>
    <row r="9" spans="1:6" x14ac:dyDescent="0.25">
      <c r="A9" s="30">
        <v>0.164445</v>
      </c>
      <c r="B9" s="31">
        <v>366.1225069827588</v>
      </c>
      <c r="C9" s="31">
        <v>366.16258172642813</v>
      </c>
      <c r="D9" s="31">
        <v>366.2026564700975</v>
      </c>
      <c r="E9" s="31">
        <v>366.2427312137669</v>
      </c>
      <c r="F9" s="31">
        <v>366.2828059574362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2646897000</v>
      </c>
      <c r="C5" s="18">
        <v>2225601000</v>
      </c>
      <c r="D5" s="18">
        <v>1863406000</v>
      </c>
      <c r="E5" s="18">
        <v>8935611000</v>
      </c>
      <c r="F5" s="8" t="s">
        <v>84</v>
      </c>
    </row>
    <row r="6" spans="1:6" x14ac:dyDescent="0.25">
      <c r="A6" t="s">
        <v>44</v>
      </c>
      <c r="B6" s="18">
        <v>1096267000</v>
      </c>
      <c r="C6" s="18">
        <v>872512000</v>
      </c>
      <c r="D6" s="18">
        <v>681837000</v>
      </c>
      <c r="E6" s="18">
        <v>664729000</v>
      </c>
      <c r="F6" s="8" t="s">
        <v>85</v>
      </c>
    </row>
    <row r="7" spans="1:6" x14ac:dyDescent="0.25">
      <c r="A7" t="s">
        <v>86</v>
      </c>
      <c r="B7" s="18">
        <v>135848000</v>
      </c>
      <c r="C7" s="18">
        <v>104463000</v>
      </c>
      <c r="D7" s="18">
        <v>85453000</v>
      </c>
      <c r="E7" s="18">
        <v>63613000</v>
      </c>
      <c r="F7" s="8" t="s">
        <v>87</v>
      </c>
    </row>
    <row r="8" spans="1:6" x14ac:dyDescent="0.25">
      <c r="A8" t="s">
        <v>88</v>
      </c>
      <c r="B8" s="18">
        <v>125793000</v>
      </c>
      <c r="C8" s="18">
        <v>101249000</v>
      </c>
      <c r="D8" s="18">
        <v>69743000</v>
      </c>
      <c r="E8" s="18">
        <v>99098000</v>
      </c>
      <c r="F8" s="8" t="s">
        <v>89</v>
      </c>
    </row>
    <row r="9" spans="1:6" x14ac:dyDescent="0.25">
      <c r="A9" t="s">
        <v>90</v>
      </c>
      <c r="B9" s="18">
        <v>243906000</v>
      </c>
      <c r="C9" s="18">
        <v>-654125000</v>
      </c>
      <c r="D9" s="18">
        <v>-1011407000</v>
      </c>
      <c r="E9" s="18">
        <v>-1423933000</v>
      </c>
      <c r="F9" s="8" t="s">
        <v>91</v>
      </c>
    </row>
    <row r="10" spans="1:6" x14ac:dyDescent="0.25">
      <c r="A10" t="s">
        <v>92</v>
      </c>
      <c r="B10" s="18">
        <v>252366000</v>
      </c>
      <c r="C10" s="18">
        <v>228256000</v>
      </c>
      <c r="D10" s="18">
        <v>223063000</v>
      </c>
      <c r="E10" s="18">
        <v>203073000</v>
      </c>
      <c r="F10" s="8" t="s">
        <v>93</v>
      </c>
    </row>
    <row r="11" spans="1:6" x14ac:dyDescent="0.25">
      <c r="A11" t="s">
        <v>94</v>
      </c>
      <c r="B11" s="18">
        <v>10455114000</v>
      </c>
      <c r="C11" s="18">
        <v>9755785000</v>
      </c>
      <c r="D11" s="18">
        <v>8218122000</v>
      </c>
      <c r="E11" s="18">
        <v>6453781000</v>
      </c>
      <c r="F11" s="8" t="s">
        <v>95</v>
      </c>
    </row>
    <row r="12" spans="1:6" x14ac:dyDescent="0.25">
      <c r="A12" t="s">
        <v>32</v>
      </c>
      <c r="B12" s="34">
        <v>31610806</v>
      </c>
      <c r="C12" s="34">
        <v>31263983</v>
      </c>
      <c r="D12" s="34">
        <v>31156990</v>
      </c>
      <c r="E12" s="34">
        <v>31046029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2026-09-19T00:06:40Z</dcterms:modified>
</cp:coreProperties>
</file>