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<sst xmlns="http://schemas.openxmlformats.org/spreadsheetml/2006/main" count="122" uniqueCount="109">
  <si>
    <t>Ameren Corporation (AEE)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</si>
  <si>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</si>
  <si>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</si>
  <si>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</si>
  <si>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</si>
  <si>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</si>
  <si>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</si>
  <si>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</si>
  <si>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</si>
  <si>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</si>
  <si>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</si>
  <si>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</si>
  <si>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</si>
  <si>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</si>
  <si>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</si>
  <si>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</si>
  <si>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</si>
  <si>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</si>
  <si>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</si>
  <si>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</si>
  <si>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</si>
  <si>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</si>
  <si>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</si>
  <si>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</si>
  <si>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+ 111bp, the spread for a BBB rating at 2.6x interest cover. Book interest / average debt was lower, at 4.0%.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</si>
  <si>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</si>
  <si>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</si>
  <si>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</si>
  <si>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</si>
  <si>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</si>
  <si>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</si>
  <si>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</si>
  <si>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</si>
  <si>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</si>
  <si>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</si>
  <si>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</si>
  <si>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</si>
  <si>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</si>
  <si>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</si>
  <si>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</si>
  <si>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</si>
  <si>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</si>
  <si>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</si>
  <si>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</si>
  <si>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</si>
  <si>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</si>
  <si>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</si>
  <si>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</si>
  <si>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</si>
  <si>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</si>
  <si>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</si>
  <si>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</si>
  <si>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</si>
  <si>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</si>
  <si>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</si>
  <si>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</si>
  <si>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</si>
  <si>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</si>
  <si>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</si>
  <si>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</si>
  <si>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</si>
  <si>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</si>
  <si>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</si>
  <si>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</si>
  <si>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</si>
  <si>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</si>
  <si>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</si>
  <si>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</si>
  <si>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</si>
  <si>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</si>
  <si>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</si>
  <si>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</si>
  <si>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</si>
  <si>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</si>
  <si>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</si>
  <si>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</si>
  <si>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</si>
  <si>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</si>
  <si>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</si>
  <si>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</si>
  <si>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</si>
  <si>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</si>
  <si>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</si>
  <si>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</si>
  <si>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</si>
  <si>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</si>
  <si>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</si>
  <si>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</si>
  <si>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</si>
  <si>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</si>
  <si>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</si>
  <si>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</si>
  <si>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</si>
  <si>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</si>
  <si>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</si>
  <si>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</si>
  <si>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</si>
  <si>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</si>
  <si>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</si>
  <si>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</si>
  <si>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</si>
  <si>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</si>
  <si>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</si>
  <si>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</si>
  <si>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</si>
  <si>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1.5%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</si>
  <si>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Free cashflow is negative in at least one forecast year, so terminal value carries most of the valuation.</t>
  </si>
  <si>
    <t>Adjusted: Capital expenditure runs at 49.5% of revenue against depreciation of 19.5%.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</si>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</sst>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0.03587310489828388</v>
      </c>
    </row>
    <row r="7" spans="1:2" x14ac:dyDescent="0.25">
      <c r="A7" t="s">
        <v>4</v>
      </c>
      <c r="B7" s="5">
        <v>0.2068142494532499</v>
      </c>
    </row>
    <row r="8" spans="1:2" x14ac:dyDescent="0.25">
      <c r="A8" t="s">
        <v>5</v>
      </c>
      <c r="B8" s="5">
        <v>0.11086341928429237</v>
      </c>
    </row>
    <row r="9" spans="1:2" x14ac:dyDescent="0.25">
      <c r="A9" t="s">
        <v>6</v>
      </c>
      <c r="B9" s="5">
        <v>0.1952088505954912</v>
      </c>
    </row>
    <row r="10" spans="1:3" x14ac:dyDescent="0.25">
      <c r="A10" t="s">
        <v>7</v>
      </c>
      <c r="B10" s="5">
        <v>0.49511692354596926</v>
      </c>
      <c r="C10" s="6" t="s">
        <v>8</v>
      </c>
    </row>
    <row r="11" spans="1:2" x14ac:dyDescent="0.25">
      <c r="A11" t="s">
        <v>9</v>
      </c>
      <c r="B11" s="5">
        <v>0.017299035560826338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13.714909643746616</v>
      </c>
    </row>
    <row r="14" spans="1:3" x14ac:dyDescent="0.25">
      <c r="A14" t="s">
        <v>12</v>
      </c>
      <c r="B14" s="5">
        <v>0.06647270548053472</v>
      </c>
      <c r="C14" s="6" t="s">
        <v>13</v>
      </c>
    </row>
    <row r="15" spans="1:3" x14ac:dyDescent="0.25">
      <c r="A15" t="s">
        <v>14</v>
      </c>
      <c r="B15" s="5">
        <v>0.1952088505954912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0.61341</v>
      </c>
      <c r="C19" s="6" t="s">
        <v>21</v>
      </c>
    </row>
    <row r="20" spans="1:2" x14ac:dyDescent="0.25">
      <c r="A20" t="s">
        <v>22</v>
      </c>
      <c r="B20" s="9">
        <f>B17+B19*B18</f>
        <v>0.074887243</v>
      </c>
    </row>
    <row r="21" spans="1:3" x14ac:dyDescent="0.25">
      <c r="A21" t="s">
        <v>23</v>
      </c>
      <c r="B21" s="5">
        <v>0.06004</v>
      </c>
      <c r="C21" s="6" t="s">
        <v>24</v>
      </c>
    </row>
    <row r="22" spans="1:2" x14ac:dyDescent="0.25">
      <c r="A22" t="s">
        <v>25</v>
      </c>
      <c r="B22" s="10">
        <v>30845876224</v>
      </c>
    </row>
    <row r="23" spans="1:2" x14ac:dyDescent="0.25">
      <c r="A23" t="s">
        <v>26</v>
      </c>
      <c r="B23" s="10">
        <v>19830000000</v>
      </c>
    </row>
    <row r="24" spans="1:2" x14ac:dyDescent="0.25">
      <c r="A24" t="s">
        <v>27</v>
      </c>
      <c r="B24" s="9">
        <f>B22/(B22+B23)</f>
        <v>0.6086895486059982</v>
      </c>
    </row>
    <row r="25" spans="1:2" x14ac:dyDescent="0.25">
      <c r="A25" t="s">
        <v>28</v>
      </c>
      <c r="B25" s="9">
        <f>1-B24</f>
        <v>0.3913104513940018</v>
      </c>
    </row>
    <row r="26" spans="1:2" x14ac:dyDescent="0.25">
      <c r="A26" t="s">
        <v>29</v>
      </c>
      <c r="B26" s="11">
        <f>B24*B20+B25*B21*(1-B8)</f>
        <v>0.06647270548053472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8799000000</v>
      </c>
      <c r="C29" s="6" t="s">
        <v>32</v>
      </c>
    </row>
    <row r="30" spans="1:2" x14ac:dyDescent="0.25">
      <c r="A30" t="s">
        <v>33</v>
      </c>
      <c r="B30" s="10">
        <v>19817000000</v>
      </c>
    </row>
    <row r="31" spans="1:2" x14ac:dyDescent="0.25">
      <c r="A31" t="s">
        <v>34</v>
      </c>
      <c r="B31" s="12">
        <v>272200000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0.03587310489828388</v>
      </c>
      <c r="C5" s="5">
        <v>0.06395322180014773</v>
      </c>
      <c r="D5" s="5">
        <v>0.05908406907512927</v>
      </c>
      <c r="E5" s="5">
        <v>0.054214916350110796</v>
      </c>
      <c r="F5" s="5">
        <v>0.04934576362509233</v>
      </c>
      <c r="G5" s="5">
        <v>0.04447661090007386</v>
      </c>
      <c r="H5" s="5">
        <v>0.0396074581750554</v>
      </c>
      <c r="I5" s="5">
        <v>0.034738305450036935</v>
      </c>
      <c r="J5" s="5">
        <v>0.029869152725018465</v>
      </c>
      <c r="K5" s="5">
        <v>0.025</v>
      </c>
    </row>
    <row r="6" spans="1:11" x14ac:dyDescent="0.25">
      <c r="A6" t="s">
        <v>50</v>
      </c>
      <c r="B6" s="18">
        <f>Assumptions!B29*(1+B5)</f>
        <v>9114647450</v>
      </c>
      <c r="C6" s="18">
        <f>B6*(1+C5)</f>
        <v>9697558520</v>
      </c>
      <c r="D6" s="18">
        <f>C6*(1+D5)</f>
        <v>10270529737.45579</v>
      </c>
      <c r="E6" s="18">
        <f>D6*(1+E5)</f>
        <v>10827345648.043282</v>
      </c>
      <c r="F6" s="18">
        <f>E6*(1+F5)</f>
        <v>11361629287.078796</v>
      </c>
      <c r="G6" s="18">
        <f>F6*(1+G5)</f>
        <v>11866956052.071083</v>
      </c>
      <c r="H6" s="18">
        <f>G6*(1+H5)</f>
        <v>12336976017.568708</v>
      </c>
      <c r="I6" s="18">
        <f>H6*(1+I5)</f>
        <v>12765541658.796791</v>
      </c>
      <c r="J6" s="18">
        <f>I6*(1+J5)</f>
        <v>13146837572.22098</v>
      </c>
      <c r="K6" s="18">
        <f>J6*(1+K5)</f>
        <v>13475508511.526503</v>
      </c>
    </row>
    <row r="7" spans="1:11" x14ac:dyDescent="0.25">
      <c r="A7" t="s">
        <v>4</v>
      </c>
      <c r="B7" s="9">
        <f>Assumptions!B7</f>
        <v>0.2068142494532499</v>
      </c>
      <c r="C7" s="9">
        <f>Assumptions!B7</f>
        <v>0.2068142494532499</v>
      </c>
      <c r="D7" s="9">
        <f>Assumptions!B7</f>
        <v>0.2068142494532499</v>
      </c>
      <c r="E7" s="9">
        <f>Assumptions!B7</f>
        <v>0.2068142494532499</v>
      </c>
      <c r="F7" s="9">
        <f>Assumptions!B7</f>
        <v>0.2068142494532499</v>
      </c>
      <c r="G7" s="9">
        <f>Assumptions!B7</f>
        <v>0.2068142494532499</v>
      </c>
      <c r="H7" s="9">
        <f>Assumptions!B7</f>
        <v>0.2068142494532499</v>
      </c>
      <c r="I7" s="9">
        <f>Assumptions!B7</f>
        <v>0.2068142494532499</v>
      </c>
      <c r="J7" s="9">
        <f>Assumptions!B7</f>
        <v>0.2068142494532499</v>
      </c>
      <c r="K7" s="9">
        <f>Assumptions!B7</f>
        <v>0.2068142494532499</v>
      </c>
    </row>
    <row r="8" spans="1:11" x14ac:dyDescent="0.25">
      <c r="A8" t="s">
        <v>51</v>
      </c>
      <c r="B8" s="18">
        <f>B6*B7</f>
        <v>1885038971.402728</v>
      </c>
      <c r="C8" s="18">
        <f>C6*C7</f>
        <v>2005593286.842769</v>
      </c>
      <c r="D8" s="18">
        <f>D6*D7</f>
        <v>2124091899.1392028</v>
      </c>
      <c r="E8" s="18">
        <f>E6*E7</f>
        <v>2239249363.7709827</v>
      </c>
      <c r="F8" s="18">
        <f>F6*F7</f>
        <v>2349746833.5732636</v>
      </c>
      <c r="G8" s="18">
        <f>G6*G7</f>
        <v>2454255609.2037826</v>
      </c>
      <c r="H8" s="18">
        <f>H6*H7</f>
        <v>2551462435.596216</v>
      </c>
      <c r="I8" s="18">
        <f>I6*I7</f>
        <v>2640095917.028253</v>
      </c>
      <c r="J8" s="18">
        <f>J6*J7</f>
        <v>2718953345.1826677</v>
      </c>
      <c r="K8" s="18">
        <f>K6*K7</f>
        <v>2786927178.8122344</v>
      </c>
    </row>
    <row r="9" spans="1:11" x14ac:dyDescent="0.25">
      <c r="A9" t="s">
        <v>52</v>
      </c>
      <c r="B9" s="18">
        <f>B8*(1-Assumptions!B8)</f>
        <v>1676057105.5488763</v>
      </c>
      <c r="C9" s="18">
        <f>C8*(1-Assumptions!B8)</f>
        <v>1783246357.369757</v>
      </c>
      <c r="D9" s="18">
        <f>D8*(1-Assumptions!B8)</f>
        <v>1888607808.3265646</v>
      </c>
      <c r="E9" s="18">
        <f>E8*(1-Assumptions!B8)</f>
        <v>1990998522.6731555</v>
      </c>
      <c r="F9" s="18">
        <f>F8*(1-Assumptions!B8)</f>
        <v>2089245865.1508927</v>
      </c>
      <c r="G9" s="18">
        <f>G8*(1-Assumptions!B8)</f>
        <v>2182168440.5697975</v>
      </c>
      <c r="H9" s="18">
        <f>H8*(1-Assumptions!B8)</f>
        <v>2268598585.810591</v>
      </c>
      <c r="I9" s="18">
        <f>I8*(1-Assumptions!B8)</f>
        <v>2347405856.4280014</v>
      </c>
      <c r="J9" s="18">
        <f>J8*(1-Assumptions!B8)</f>
        <v>2417520880.461252</v>
      </c>
      <c r="K9" s="18">
        <f>K8*(1-Assumptions!B8)</f>
        <v>2477958902.4727836</v>
      </c>
    </row>
    <row r="10" spans="1:11" x14ac:dyDescent="0.25">
      <c r="A10" t="s">
        <v>53</v>
      </c>
      <c r="B10" s="18">
        <f>B6*Assumptions!B9</f>
        <v>1779259852.2976248</v>
      </c>
      <c r="C10" s="18">
        <f>C6*Assumptions!B9</f>
        <v>1893049252.2717128</v>
      </c>
      <c r="D10" s="18">
        <f>D6*Assumptions!B9</f>
        <v>2004898305.0555568</v>
      </c>
      <c r="E10" s="18">
        <f>E6*Assumptions!B9</f>
        <v>2113593698.9546227</v>
      </c>
      <c r="F10" s="18">
        <f>F6*Assumptions!B9</f>
        <v>2217890594.022722</v>
      </c>
      <c r="G10" s="18">
        <f>G6*Assumptions!B9</f>
        <v>2316534850.9920044</v>
      </c>
      <c r="H10" s="18">
        <f>H6*Assumptions!B9</f>
        <v>2408286908.213728</v>
      </c>
      <c r="I10" s="18">
        <f>I6*Assumptions!B9</f>
        <v>2491946714.4425817</v>
      </c>
      <c r="J10" s="18">
        <f>J6*Assumptions!B9</f>
        <v>2566379051.4388757</v>
      </c>
      <c r="K10" s="18">
        <f>K6*Assumptions!B9</f>
        <v>2630538527.724847</v>
      </c>
    </row>
    <row r="11" spans="1:11" x14ac:dyDescent="0.25">
      <c r="A11" t="s">
        <v>54</v>
      </c>
      <c r="B11" s="18">
        <f>-B6*B19</f>
        <v>-4512816204.650114</v>
      </c>
      <c r="C11" s="18">
        <f>-C6*C19</f>
        <v>-4552791179.354694</v>
      </c>
      <c r="D11" s="18">
        <f>-D6*D19</f>
        <v>-4558464128.964152</v>
      </c>
      <c r="E11" s="18">
        <f>-E6*E19</f>
        <v>-4528000286.887375</v>
      </c>
      <c r="F11" s="18">
        <f>-F6*F19</f>
        <v>-4460138911.955212</v>
      </c>
      <c r="G11" s="18">
        <f>-G6*G19</f>
        <v>-4354255775.538989</v>
      </c>
      <c r="H11" s="18">
        <f>-H6*H19</f>
        <v>-4210411012.526767</v>
      </c>
      <c r="I11" s="18">
        <f>-I6*I19</f>
        <v>-4029379863.4915786</v>
      </c>
      <c r="J11" s="18">
        <f>-J6*J19</f>
        <v>-3812664347.8648534</v>
      </c>
      <c r="K11" s="18">
        <f>-K6*K19</f>
        <v>-3562484536.4510927</v>
      </c>
    </row>
    <row r="12" spans="1:11" x14ac:dyDescent="0.25">
      <c r="A12" t="s">
        <v>55</v>
      </c>
      <c r="B12" s="18">
        <f>-(B6-Assumptions!B29)*Assumptions!B11</f>
        <v>-5460396.462234153</v>
      </c>
      <c r="C12" s="18">
        <f>-(C6-B6)*Assumptions!B11</f>
        <v>-10083799.32872933</v>
      </c>
      <c r="D12" s="18">
        <f>-(D6-C6)*Assumptions!B11</f>
        <v>-9911849.466097664</v>
      </c>
      <c r="E12" s="18">
        <f>-(E6-D6)*Assumptions!B11</f>
        <v>-9632378.238086922</v>
      </c>
      <c r="F12" s="18">
        <f>-(F6-E6)*Assumptions!B11</f>
        <v>-9242591.671243073</v>
      </c>
      <c r="G12" s="18">
        <f>-(G6-F6)*Assumptions!B11</f>
        <v>-8741665.677438902</v>
      </c>
      <c r="H12" s="18">
        <f>-(H6-G6)*Assumptions!B11</f>
        <v>-8130892.097441789</v>
      </c>
      <c r="I12" s="18">
        <f>-(I6-H6)*Assumptions!B11</f>
        <v>-7413772.267752944</v>
      </c>
      <c r="J12" s="18">
        <f>-(J6-I6)*Assumptions!B11</f>
        <v>-6596051.565522799</v>
      </c>
      <c r="K12" s="18">
        <f>-(K6-J6)*Assumptions!B11</f>
        <v>-5685690.266856436</v>
      </c>
    </row>
    <row r="13" spans="1:11" x14ac:dyDescent="0.25">
      <c r="A13" s="19" t="s">
        <v>56</v>
      </c>
      <c r="B13" s="20">
        <f>B9+B10+B11+B12</f>
        <v>-1062959643.2658468</v>
      </c>
      <c r="C13" s="20">
        <f>C9+C10+C11+C12</f>
        <v>-886579369.0419537</v>
      </c>
      <c r="D13" s="20">
        <f>D9+D10+D11+D12</f>
        <v>-674869865.048129</v>
      </c>
      <c r="E13" s="20">
        <f>E9+E10+E11+E12</f>
        <v>-433040443.49768376</v>
      </c>
      <c r="F13" s="20">
        <f>F9+F10+F11+F12</f>
        <v>-162245044.4528402</v>
      </c>
      <c r="G13" s="20">
        <f>G9+G10+G11+G12</f>
        <v>135705850.34537393</v>
      </c>
      <c r="H13" s="20">
        <f>H9+H10+H11+H12</f>
        <v>458343589.4001101</v>
      </c>
      <c r="I13" s="20">
        <f>I9+I10+I11+I12</f>
        <v>802558935.1112511</v>
      </c>
      <c r="J13" s="20">
        <f>J9+J10+J11+J12</f>
        <v>1164639532.4697511</v>
      </c>
      <c r="K13" s="20">
        <f>K9+K10+K11+K12</f>
        <v>1540327203.4796808</v>
      </c>
    </row>
    <row r="14" spans="1:11" x14ac:dyDescent="0.25">
      <c r="A14" t="s">
        <v>57</v>
      </c>
      <c r="B14" s="21">
        <f>1/(1+Assumptions!$B$26)^(1-0.5*Assumptions!$B$32)</f>
        <v>0.968333880798915</v>
      </c>
      <c r="C14" s="21">
        <f>1/(1+Assumptions!$B$26)^(2-0.5*Assumptions!$B$32)</f>
        <v>0.9079781187298178</v>
      </c>
      <c r="D14" s="21">
        <f>1/(1+Assumptions!$B$26)^(3-0.5*Assumptions!$B$32)</f>
        <v>0.851384300848748</v>
      </c>
      <c r="E14" s="21">
        <f>1/(1+Assumptions!$B$26)^(4-0.5*Assumptions!$B$32)</f>
        <v>0.7983179470731306</v>
      </c>
      <c r="F14" s="21">
        <f>1/(1+Assumptions!$B$26)^(5-0.5*Assumptions!$B$32)</f>
        <v>0.748559192345595</v>
      </c>
      <c r="G14" s="21">
        <f>1/(1+Assumptions!$B$26)^(6-0.5*Assumptions!$B$32)</f>
        <v>0.7019018756868295</v>
      </c>
      <c r="H14" s="21">
        <f>1/(1+Assumptions!$B$26)^(7-0.5*Assumptions!$B$32)</f>
        <v>0.658152686027313</v>
      </c>
      <c r="I14" s="21">
        <f>1/(1+Assumptions!$B$26)^(8-0.5*Assumptions!$B$32)</f>
        <v>0.6171303612789232</v>
      </c>
      <c r="J14" s="21">
        <f>1/(1+Assumptions!$B$26)^(9-0.5*Assumptions!$B$32)</f>
        <v>0.5786649373280065</v>
      </c>
      <c r="K14" s="21">
        <f>1/(1+Assumptions!$B$26)^(10-0.5*Assumptions!$B$32)</f>
        <v>0.5425970438383323</v>
      </c>
    </row>
    <row r="15" spans="1:11" x14ac:dyDescent="0.25">
      <c r="A15" s="19" t="s">
        <v>58</v>
      </c>
      <c r="B15" s="20">
        <f>B13*B14</f>
        <v>-1029299836.4962478</v>
      </c>
      <c r="C15" s="20">
        <f>C13*C14</f>
        <v>-804994667.6073819</v>
      </c>
      <c r="D15" s="20">
        <f>D13*D14</f>
        <v>-574573608.2178903</v>
      </c>
      <c r="E15" s="20">
        <f>E13*E14</f>
        <v>-345703957.85270894</v>
      </c>
      <c r="F15" s="20">
        <f>F13*F14</f>
        <v>-121450019.43769322</v>
      </c>
      <c r="G15" s="20">
        <f>G13*G14</f>
        <v>95252190.89909413</v>
      </c>
      <c r="H15" s="20">
        <f>H13*H14</f>
        <v>301660064.48708236</v>
      </c>
      <c r="I15" s="20">
        <f>I13*I14</f>
        <v>495283485.57283425</v>
      </c>
      <c r="J15" s="20">
        <f>J13*J14</f>
        <v>673936062.0663273</v>
      </c>
      <c r="K15" s="20">
        <f>K13*K14</f>
        <v>835776987.1518401</v>
      </c>
    </row>
    <row r="17" spans="1:2" x14ac:dyDescent="0.25">
      <c r="A17" s="22" t="s">
        <v>59</v>
      </c>
      <c r="B17" s="23">
        <f>SUM(B15:K15)</f>
        <v>-474113299.4347435</v>
      </c>
    </row>
    <row r="19" spans="1:11" x14ac:dyDescent="0.25">
      <c r="A19" t="s">
        <v>7</v>
      </c>
      <c r="B19" s="9">
        <f>Assumptions!$B$10+($B$20-Assumptions!$B$10)*0/9</f>
        <v>0.49511692354596926</v>
      </c>
      <c r="C19" s="9">
        <f>Assumptions!$B$10+($B$20-Assumptions!$B$10)*1/9</f>
        <v>0.4694780825467702</v>
      </c>
      <c r="D19" s="9">
        <f>Assumptions!$B$10+($B$20-Assumptions!$B$10)*2/9</f>
        <v>0.44383924154757115</v>
      </c>
      <c r="E19" s="9">
        <f>Assumptions!$B$10+($B$20-Assumptions!$B$10)*3/9</f>
        <v>0.41820040054837215</v>
      </c>
      <c r="F19" s="9">
        <f>Assumptions!$B$10+($B$20-Assumptions!$B$10)*4/9</f>
        <v>0.39256155954917304</v>
      </c>
      <c r="G19" s="9">
        <f>Assumptions!$B$10+($B$20-Assumptions!$B$10)*5/9</f>
        <v>0.36692271854997405</v>
      </c>
      <c r="H19" s="9">
        <f>Assumptions!$B$10+($B$20-Assumptions!$B$10)*6/9</f>
        <v>0.341283877550775</v>
      </c>
      <c r="I19" s="9">
        <f>Assumptions!$B$10+($B$20-Assumptions!$B$10)*7/9</f>
        <v>0.31564503655157594</v>
      </c>
      <c r="J19" s="9">
        <f>Assumptions!$B$10+($B$20-Assumptions!$B$10)*8/9</f>
        <v>0.2900061955523769</v>
      </c>
      <c r="K19" s="9">
        <f>Assumptions!$B$10+($B$20-Assumptions!$B$10)*9/9</f>
        <v>0.26436735455317784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0.26436735455317784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1540327203.4796808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2477958902.4727836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0.37609421520116676</v>
      </c>
    </row>
    <row r="7" spans="1:2" x14ac:dyDescent="0.25">
      <c r="A7" t="s">
        <v>66</v>
      </c>
      <c r="B7" s="18">
        <f>-MAX(B5,0)*B6</f>
        <v>-931946008.726246</v>
      </c>
    </row>
    <row r="8" spans="1:2" x14ac:dyDescent="0.25">
      <c r="A8" t="s">
        <v>67</v>
      </c>
      <c r="B8" s="18">
        <f>IF(OR(Assumptions!$B$33=0,Assumptions!B12&lt;=0),B5,MAX(B5+B7,0))</f>
        <v>1546012893.7465377</v>
      </c>
    </row>
    <row r="9" spans="1:2" x14ac:dyDescent="0.25">
      <c r="A9" t="s">
        <v>68</v>
      </c>
      <c r="B9" s="18">
        <f>B8*(1+Assumptions!B12)/(Assumptions!B26-Assumptions!B12)</f>
        <v>38209786357.776085</v>
      </c>
    </row>
    <row r="10" spans="1:2" x14ac:dyDescent="0.25">
      <c r="A10" t="s">
        <v>69</v>
      </c>
      <c r="B10" s="18">
        <f>B9/(1+Assumptions!B26)^(10-0.5*Assumptions!B32)</f>
        <v>20732517123.423542</v>
      </c>
    </row>
    <row r="11" spans="1:2" x14ac:dyDescent="0.25">
      <c r="A11" t="s">
        <v>70</v>
      </c>
      <c r="B11" s="18">
        <f>Forecast!B17+B10</f>
        <v>20258403823.9888</v>
      </c>
    </row>
    <row r="12" spans="1:2" x14ac:dyDescent="0.25">
      <c r="A12" t="s">
        <v>71</v>
      </c>
      <c r="B12" s="18">
        <f>-Assumptions!B30</f>
        <v>-19817000000</v>
      </c>
    </row>
    <row r="13" spans="1:2" x14ac:dyDescent="0.25">
      <c r="A13" t="s">
        <v>72</v>
      </c>
      <c r="B13" s="18">
        <f>B11+B12</f>
        <v>441403823.98880005</v>
      </c>
    </row>
    <row r="14" spans="1:2" x14ac:dyDescent="0.25">
      <c r="A14" s="19" t="s">
        <v>73</v>
      </c>
      <c r="B14" s="24">
        <f>B13/Assumptions!B31</f>
        <v>1.6216158118618664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5417465706.537081</v>
      </c>
    </row>
    <row r="18" spans="1:2" x14ac:dyDescent="0.25">
      <c r="A18" t="s">
        <v>68</v>
      </c>
      <c r="B18" s="18">
        <f>B17*Assumptions!B13</f>
        <v>74300052663.25198</v>
      </c>
    </row>
    <row r="19" spans="1:2" x14ac:dyDescent="0.25">
      <c r="A19" t="s">
        <v>69</v>
      </c>
      <c r="B19" s="18">
        <f>B18/(1+Assumptions!B26)^(10-0.5*Assumptions!B32)</f>
        <v>40314988932.11294</v>
      </c>
    </row>
    <row r="20" spans="1:2" x14ac:dyDescent="0.25">
      <c r="A20" t="s">
        <v>70</v>
      </c>
      <c r="B20" s="18">
        <f>Forecast!B17+B19</f>
        <v>39840875632.67819</v>
      </c>
    </row>
    <row r="21" spans="1:2" x14ac:dyDescent="0.25">
      <c r="A21" t="s">
        <v>71</v>
      </c>
      <c r="B21" s="18">
        <f>-Assumptions!B30</f>
        <v>-19817000000</v>
      </c>
    </row>
    <row r="22" spans="1:2" x14ac:dyDescent="0.25">
      <c r="A22" t="s">
        <v>72</v>
      </c>
      <c r="B22" s="18">
        <f>B20+B21</f>
        <v>20023875632.678192</v>
      </c>
    </row>
    <row r="23" spans="1:2" x14ac:dyDescent="0.25">
      <c r="A23" s="19" t="s">
        <v>73</v>
      </c>
      <c r="B23" s="25">
        <f>B22/Assumptions!B31</f>
        <v>73.5630993118229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111.42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1.6216158118618664</v>
      </c>
    </row>
    <row r="29" spans="1:2" x14ac:dyDescent="0.25">
      <c r="A29" s="19" t="s">
        <v>81</v>
      </c>
      <c r="B29" s="11">
        <f>B28/B26-1</f>
        <v>-0.9854459180410889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0.046473</v>
      </c>
      <c r="B5" s="31">
        <v>63.92988120271213</v>
      </c>
      <c r="C5" s="31">
        <v>64.93036387444512</v>
      </c>
      <c r="D5" s="31">
        <v>67.5188055415499</v>
      </c>
      <c r="E5" s="31">
        <v>73.14117141561998</v>
      </c>
      <c r="F5" s="31">
        <v>85.76406684002484</v>
      </c>
    </row>
    <row r="6" spans="1:6" x14ac:dyDescent="0.25">
      <c r="A6" s="30">
        <v>0.056473</v>
      </c>
      <c r="B6" s="31">
        <v>26.25587213831685</v>
      </c>
      <c r="C6" s="31">
        <v>24.19632025203828</v>
      </c>
      <c r="D6" s="31">
        <v>22.136768365759714</v>
      </c>
      <c r="E6" s="31">
        <v>20.077216479481187</v>
      </c>
      <c r="F6" s="31">
        <v>18.017664593202618</v>
      </c>
    </row>
    <row r="7" spans="1:6" x14ac:dyDescent="0.25">
      <c r="A7" s="30">
        <v>0.066473</v>
      </c>
      <c r="B7" s="31">
        <v>4.925335756011111</v>
      </c>
      <c r="C7" s="31">
        <v>3.2732219678893357</v>
      </c>
      <c r="D7" s="32">
        <v>1.621108179767533</v>
      </c>
      <c r="E7" s="31">
        <v>-0.031005608354227932</v>
      </c>
      <c r="F7" s="31">
        <v>-1.683119396476045</v>
      </c>
    </row>
    <row r="8" spans="1:6" x14ac:dyDescent="0.25">
      <c r="A8" s="30">
        <v>0.076473</v>
      </c>
      <c r="B8" s="31">
        <v>-10.487160968572763</v>
      </c>
      <c r="C8" s="31">
        <v>-11.844322759693119</v>
      </c>
      <c r="D8" s="31">
        <v>-13.201484550813504</v>
      </c>
      <c r="E8" s="31">
        <v>-14.558646341933853</v>
      </c>
      <c r="F8" s="31">
        <v>-15.915808133054224</v>
      </c>
    </row>
    <row r="9" spans="1:6" x14ac:dyDescent="0.25">
      <c r="A9" s="30">
        <v>0.086473</v>
      </c>
      <c r="B9" s="31">
        <v>-22.05781788737857</v>
      </c>
      <c r="C9" s="31">
        <v>-23.19306278081524</v>
      </c>
      <c r="D9" s="31">
        <v>-24.328307674251917</v>
      </c>
      <c r="E9" s="31">
        <v>-25.463552567688595</v>
      </c>
      <c r="F9" s="31">
        <v>-26.598797461125272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8799000000</v>
      </c>
      <c r="C5" s="18">
        <v>7623000000</v>
      </c>
      <c r="D5" s="18">
        <v>7500000000</v>
      </c>
      <c r="E5" s="18">
        <v>7957000000</v>
      </c>
      <c r="F5" s="6" t="s">
        <v>91</v>
      </c>
    </row>
    <row r="6" spans="1:6" x14ac:dyDescent="0.25">
      <c r="A6" t="s">
        <v>51</v>
      </c>
      <c r="B6" s="18">
        <v>2026000000</v>
      </c>
      <c r="C6" s="18">
        <v>1516000000</v>
      </c>
      <c r="D6" s="18">
        <v>1558000000</v>
      </c>
      <c r="E6" s="18">
        <v>1515000000</v>
      </c>
      <c r="F6" s="6" t="s">
        <v>92</v>
      </c>
    </row>
    <row r="7" spans="1:6" x14ac:dyDescent="0.25">
      <c r="A7" t="s">
        <v>93</v>
      </c>
      <c r="B7" s="18">
        <v>1668000000</v>
      </c>
      <c r="C7" s="18">
        <v>1605000000</v>
      </c>
      <c r="D7" s="18">
        <v>1500000000</v>
      </c>
      <c r="E7" s="18">
        <v>1438000000</v>
      </c>
      <c r="F7" s="6" t="s">
        <v>94</v>
      </c>
    </row>
    <row r="8" spans="1:6" x14ac:dyDescent="0.25">
      <c r="A8" t="s">
        <v>95</v>
      </c>
      <c r="B8" s="18">
        <v>4174000000</v>
      </c>
      <c r="C8" s="18">
        <v>4410000000</v>
      </c>
      <c r="D8" s="18">
        <v>3771000000</v>
      </c>
      <c r="E8" s="18">
        <v>3380000000</v>
      </c>
      <c r="F8" s="6" t="s">
        <v>96</v>
      </c>
    </row>
    <row r="9" spans="1:6" x14ac:dyDescent="0.25">
      <c r="A9" t="s">
        <v>97</v>
      </c>
      <c r="B9" s="18">
        <v>51000000</v>
      </c>
      <c r="C9" s="18">
        <v>214000000</v>
      </c>
      <c r="D9" s="18">
        <v>326000000</v>
      </c>
      <c r="E9" s="18">
        <v>494000000</v>
      </c>
      <c r="F9" s="6" t="s">
        <v>98</v>
      </c>
    </row>
    <row r="10" spans="1:6" x14ac:dyDescent="0.25">
      <c r="A10" t="s">
        <v>99</v>
      </c>
      <c r="B10" s="18">
        <v>19830000000</v>
      </c>
      <c r="C10" s="18">
        <v>18722000000</v>
      </c>
      <c r="D10" s="18">
        <v>16506000000</v>
      </c>
      <c r="E10" s="18">
        <v>15095000000</v>
      </c>
      <c r="F10" s="6" t="s">
        <v>100</v>
      </c>
    </row>
    <row r="11" spans="1:6" x14ac:dyDescent="0.25">
      <c r="A11" t="s">
        <v>101</v>
      </c>
      <c r="B11" s="18">
        <v>13000000</v>
      </c>
      <c r="C11" s="18">
        <v>7000000</v>
      </c>
      <c r="D11" s="18">
        <v>25000000</v>
      </c>
      <c r="E11" s="18">
        <v>250000000</v>
      </c>
      <c r="F11" s="6" t="s">
        <v>102</v>
      </c>
    </row>
    <row r="12" spans="1:6" x14ac:dyDescent="0.25">
      <c r="A12" t="s">
        <v>34</v>
      </c>
      <c r="B12" s="34">
        <v>272200000</v>
      </c>
      <c r="C12" s="34">
        <v>267400000</v>
      </c>
      <c r="D12" s="34">
        <v>263400000</v>
      </c>
      <c r="E12" s="34">
        <v>259500000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22" customHeight="1" spans="1:6" x14ac:dyDescent="0.25">
      <c r="A17" s="35" t="s">
        <v>106</v>
      </c>
      <c r="B17" s="35"/>
      <c r="C17" s="35"/>
      <c r="D17" s="35"/>
      <c r="E17" s="35"/>
      <c r="F17" s="35"/>
    </row>
    <row r="18" ht="54" customHeight="1" spans="1:6" x14ac:dyDescent="0.25">
      <c r="A18" s="35" t="s">
        <v>107</v>
      </c>
      <c r="B18" s="35"/>
      <c r="C18" s="35"/>
      <c r="D18" s="35"/>
      <c r="E18" s="35"/>
      <c r="F18" s="35"/>
    </row>
    <row r="20" spans="1:1" x14ac:dyDescent="0.25">
      <c r="A20" s="36" t="s">
        <v>108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