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<sst xmlns="http://schemas.openxmlformats.org/spreadsheetml/2006/main" count="113" uniqueCount="101">
  <si>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Ameren Corporation (AEE)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</si>
  <si>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</si>
  <si>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</si>
  <si>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</si>
  <si>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</si>
  <si>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</si>
  <si>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</si>
  <si>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</si>
  <si>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</si>
  <si>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</si>
  <si>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</si>
  <si>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</si>
  <si>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</si>
  <si>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</si>
  <si>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</si>
  <si>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</si>
  <si>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</si>
  <si>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</si>
  <si>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</si>
  <si>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</si>
  <si>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</si>
  <si>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</si>
  <si>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</si>
  <si>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</si>
  <si>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</si>
  <si>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</si>
  <si>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</si>
  <si>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</si>
  <si>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</si>
  <si>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</si>
  <si>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</si>
  <si>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</si>
  <si>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</si>
  <si>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</si>
  <si>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</si>
  <si>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</si>
  <si>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</si>
  <si>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</si>
  <si>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</si>
  <si>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</si>
  <si>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</si>
  <si>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</si>
  <si>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</si>
  <si>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</si>
  <si>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</si>
  <si>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</si>
  <si>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</si>
  <si>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</si>
  <si>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</si>
  <si>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</si>
  <si>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</si>
  <si>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</si>
  <si>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</si>
  <si>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</si>
  <si>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</si>
  <si>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</si>
  <si>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</si>
  <si>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</si>
  <si>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</si>
  <si>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</si>
  <si>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</si>
  <si>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</si>
  <si>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</si>
  <si>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</si>
  <si>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</si>
  <si>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</si>
  <si>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</si>
  <si>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</si>
  <si>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</si>
  <si>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</si>
  <si>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</si>
  <si>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</si>
  <si>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</si>
  <si>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</si>
  <si>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</si>
  <si>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</si>
  <si>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</si>
  <si>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</si>
  <si>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</si>
  <si>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</si>
  <si>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</si>
  <si>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</si>
  <si>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</si>
  <si>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</si>
  <si>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</si>
  <si>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</si>
  <si>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</si>
  <si>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</si>
  <si>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</si>
  <si>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</si>
  <si>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</si>
  <si>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</si>
  <si>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</si>
  <si>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</si>
  <si>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</si>
  <si>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</si>
  <si>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</si>
  <si>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</si>
  <si>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</si>
  <si>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49.5% of revenue against depreciation of 19.5%.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</si>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</sst>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0.03409709923004489</v>
      </c>
    </row>
    <row r="7" spans="1:2" x14ac:dyDescent="0.25">
      <c r="A7" t="s">
        <v>5</v>
      </c>
      <c r="B7" s="6">
        <v>0.2068142494532499</v>
      </c>
    </row>
    <row r="8" spans="1:2" x14ac:dyDescent="0.25">
      <c r="A8" t="s">
        <v>6</v>
      </c>
      <c r="B8" s="6">
        <v>0.11086341928429237</v>
      </c>
    </row>
    <row r="9" spans="1:2" x14ac:dyDescent="0.25">
      <c r="A9" t="s">
        <v>7</v>
      </c>
      <c r="B9" s="6">
        <v>0.1952088505954912</v>
      </c>
    </row>
    <row r="10" spans="1:2" x14ac:dyDescent="0.25">
      <c r="A10" t="s">
        <v>8</v>
      </c>
      <c r="B10" s="6">
        <v>0.49511692354596926</v>
      </c>
    </row>
    <row r="11" spans="1:2" x14ac:dyDescent="0.25">
      <c r="A11" t="s">
        <v>9</v>
      </c>
      <c r="B11" s="6">
        <v>0.04336734693877551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13.02617456199242</v>
      </c>
    </row>
    <row r="14" spans="1:3" x14ac:dyDescent="0.25">
      <c r="A14" t="s">
        <v>12</v>
      </c>
      <c r="B14" s="6">
        <v>0.06855341102986579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0.6449</v>
      </c>
      <c r="C19" s="8" t="s">
        <v>19</v>
      </c>
    </row>
    <row r="20" spans="1:2" x14ac:dyDescent="0.25">
      <c r="A20" t="s">
        <v>20</v>
      </c>
      <c r="B20" s="10">
        <f>B17+B19*B18</f>
        <v>0.08544950000000001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28301688832</v>
      </c>
    </row>
    <row r="23" spans="1:2" x14ac:dyDescent="0.25">
      <c r="A23" t="s">
        <v>24</v>
      </c>
      <c r="B23" s="11">
        <v>19830000000</v>
      </c>
    </row>
    <row r="24" spans="1:2" x14ac:dyDescent="0.25">
      <c r="A24" t="s">
        <v>25</v>
      </c>
      <c r="B24" s="10">
        <f>B22/(B22+B23)</f>
        <v>0.5880053145607438</v>
      </c>
    </row>
    <row r="25" spans="1:2" x14ac:dyDescent="0.25">
      <c r="A25" t="s">
        <v>26</v>
      </c>
      <c r="B25" s="10">
        <f>1-B24</f>
        <v>0.4119946854392562</v>
      </c>
    </row>
    <row r="26" spans="1:2" x14ac:dyDescent="0.25">
      <c r="A26" t="s">
        <v>27</v>
      </c>
      <c r="B26" s="12">
        <f>B24*B20+B25*B21*(1-B8)</f>
        <v>0.06855341102986579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8799000000</v>
      </c>
      <c r="C29" s="8" t="s">
        <v>30</v>
      </c>
    </row>
    <row r="30" spans="1:2" x14ac:dyDescent="0.25">
      <c r="A30" t="s">
        <v>31</v>
      </c>
      <c r="B30" s="11">
        <v>19817000000</v>
      </c>
    </row>
    <row r="31" spans="1:2" x14ac:dyDescent="0.25">
      <c r="A31" t="s">
        <v>32</v>
      </c>
      <c r="B31" s="13">
        <v>272200000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0.03409709923004489</v>
      </c>
      <c r="C5" s="10">
        <f>Assumptions!B6</f>
        <v>0.03409709923004489</v>
      </c>
      <c r="D5" s="10">
        <f>Assumptions!B6</f>
        <v>0.03409709923004489</v>
      </c>
      <c r="E5" s="10">
        <f>Assumptions!B6</f>
        <v>0.03409709923004489</v>
      </c>
      <c r="F5" s="10">
        <f>Assumptions!B6</f>
        <v>0.03409709923004489</v>
      </c>
    </row>
    <row r="6" spans="1:6" x14ac:dyDescent="0.25">
      <c r="A6" t="s">
        <v>43</v>
      </c>
      <c r="B6" s="18">
        <f>Assumptions!B29*(1+B5)</f>
        <v>9099020376.125166</v>
      </c>
      <c r="C6" s="18">
        <f>B6*(1+C5)</f>
        <v>9409270576.786106</v>
      </c>
      <c r="D6" s="18">
        <f>C6*(1+D5)</f>
        <v>9730099409.325123</v>
      </c>
      <c r="E6" s="18">
        <f>D6*(1+E5)</f>
        <v>10061867574.403082</v>
      </c>
      <c r="F6" s="18">
        <f>E6*(1+F5)</f>
        <v>10404948071.527075</v>
      </c>
    </row>
    <row r="7" spans="1:6" x14ac:dyDescent="0.25">
      <c r="A7" t="s">
        <v>5</v>
      </c>
      <c r="B7" s="10">
        <f>Assumptions!B7</f>
        <v>0.2068142494532499</v>
      </c>
      <c r="C7" s="10">
        <f>Assumptions!B7</f>
        <v>0.2068142494532499</v>
      </c>
      <c r="D7" s="10">
        <f>Assumptions!B7</f>
        <v>0.2068142494532499</v>
      </c>
      <c r="E7" s="10">
        <f>Assumptions!B7</f>
        <v>0.2068142494532499</v>
      </c>
      <c r="F7" s="10">
        <f>Assumptions!B7</f>
        <v>0.2068142494532499</v>
      </c>
    </row>
    <row r="8" spans="1:6" x14ac:dyDescent="0.25">
      <c r="A8" t="s">
        <v>44</v>
      </c>
      <c r="B8" s="18">
        <f>B6*B7</f>
        <v>1881807069.8481536</v>
      </c>
      <c r="C8" s="18">
        <f>C6*C7</f>
        <v>1945971232.2405663</v>
      </c>
      <c r="D8" s="18">
        <f>D6*D7</f>
        <v>2012323206.4450853</v>
      </c>
      <c r="E8" s="18">
        <f>E6*E7</f>
        <v>2080937590.4981654</v>
      </c>
      <c r="F8" s="18">
        <f>F6*F7</f>
        <v>2151891526.012912</v>
      </c>
    </row>
    <row r="9" spans="1:6" x14ac:dyDescent="0.25">
      <c r="A9" t="s">
        <v>45</v>
      </c>
      <c r="B9" s="18">
        <f>B8*(1-Assumptions!B8)</f>
        <v>1673183503.651432</v>
      </c>
      <c r="C9" s="18">
        <f>C8*(1-Assumptions!B8)</f>
        <v>1730234207.6055093</v>
      </c>
      <c r="D9" s="18">
        <f>D8*(1-Assumptions!B8)</f>
        <v>1789230175.0734522</v>
      </c>
      <c r="E9" s="18">
        <f>E8*(1-Assumptions!B8)</f>
        <v>1850237733.8983223</v>
      </c>
      <c r="F9" s="18">
        <f>F8*(1-Assumptions!B8)</f>
        <v>1913325473.5102267</v>
      </c>
    </row>
    <row r="10" spans="1:6" x14ac:dyDescent="0.25">
      <c r="A10" t="s">
        <v>46</v>
      </c>
      <c r="B10" s="18">
        <f>B6*Assumptions!B9</f>
        <v>1776209309.1683476</v>
      </c>
      <c r="C10" s="18">
        <f>C6*Assumptions!B9</f>
        <v>1836772894.2363904</v>
      </c>
      <c r="D10" s="18">
        <f>D6*Assumptions!B9</f>
        <v>1899401521.8742251</v>
      </c>
      <c r="E10" s="18">
        <f>E6*Assumptions!B9</f>
        <v>1964165604.0432687</v>
      </c>
      <c r="F10" s="18">
        <f>F6*Assumptions!B9</f>
        <v>2031137953.548573</v>
      </c>
    </row>
    <row r="11" spans="1:6" x14ac:dyDescent="0.25">
      <c r="A11" t="s">
        <v>47</v>
      </c>
      <c r="B11" s="18">
        <f>-B6*Assumptions!B10</f>
        <v>-4505078975.909181</v>
      </c>
      <c r="C11" s="18">
        <f>-C6*Assumptions!B10</f>
        <v>-4658689100.789945</v>
      </c>
      <c r="D11" s="18">
        <f>-D6*Assumptions!B10</f>
        <v>-4817536885.341508</v>
      </c>
      <c r="E11" s="18">
        <f>-E6*Assumptions!B10</f>
        <v>-4981800918.565398</v>
      </c>
      <c r="F11" s="18">
        <f>-F6*Assumptions!B10</f>
        <v>-5151665878.830051</v>
      </c>
    </row>
    <row r="12" spans="1:6" x14ac:dyDescent="0.25">
      <c r="A12" t="s">
        <v>48</v>
      </c>
      <c r="B12" s="18">
        <f>-(B6-Assumptions!B29)*Assumptions!B11</f>
        <v>-13011087.740121992</v>
      </c>
      <c r="C12" s="18">
        <f>-(C6-B6)*Assumptions!B11</f>
        <v>-13454728.089887712</v>
      </c>
      <c r="D12" s="18">
        <f>-(D6-C6)*Assumptions!B11</f>
        <v>-13913495.288681848</v>
      </c>
      <c r="E12" s="18">
        <f>-(E6-D6)*Assumptions!B11</f>
        <v>-14387905.118176796</v>
      </c>
      <c r="F12" s="18">
        <f>-(F6-E6)*Assumptions!B11</f>
        <v>-14878490.946703775</v>
      </c>
    </row>
    <row r="13" spans="1:6" x14ac:dyDescent="0.25">
      <c r="A13" s="19" t="s">
        <v>49</v>
      </c>
      <c r="B13" s="20">
        <f>B9+B10+B11+B12</f>
        <v>-1068697250.8295232</v>
      </c>
      <c r="C13" s="20">
        <f>C9+C10+C11+C12</f>
        <v>-1105136727.0379324</v>
      </c>
      <c r="D13" s="20">
        <f>D9+D10+D11+D12</f>
        <v>-1142818683.682512</v>
      </c>
      <c r="E13" s="20">
        <f>E9+E10+E11+E12</f>
        <v>-1181785485.7419837</v>
      </c>
      <c r="F13" s="20">
        <f>F9+F10+F11+F12</f>
        <v>-1222080942.7179554</v>
      </c>
    </row>
    <row r="14" spans="1:6" x14ac:dyDescent="0.25">
      <c r="A14" t="s">
        <v>50</v>
      </c>
      <c r="B14" s="21">
        <f>1/(1+Assumptions!$B$26)^(1-0.5*Assumptions!$B$32)</f>
        <v>0.9673906432234362</v>
      </c>
      <c r="C14" s="21">
        <f>1/(1+Assumptions!$B$26)^(2-0.5*Assumptions!$B$32)</f>
        <v>0.9053273643018652</v>
      </c>
      <c r="D14" s="21">
        <f>1/(1+Assumptions!$B$26)^(3-0.5*Assumptions!$B$32)</f>
        <v>0.8472457763522704</v>
      </c>
      <c r="E14" s="21">
        <f>1/(1+Assumptions!$B$26)^(4-0.5*Assumptions!$B$32)</f>
        <v>0.7928904326230166</v>
      </c>
      <c r="F14" s="21">
        <f>1/(1+Assumptions!$B$26)^(5-0.5*Assumptions!$B$32)</f>
        <v>0.7420222746365418</v>
      </c>
    </row>
    <row r="15" spans="1:6" x14ac:dyDescent="0.25">
      <c r="A15" s="19" t="s">
        <v>51</v>
      </c>
      <c r="B15" s="20">
        <f>B13*B14</f>
        <v>-1033847720.8910904</v>
      </c>
      <c r="C15" s="20">
        <f>C13*C14</f>
        <v>-1000510520.2824413</v>
      </c>
      <c r="D15" s="20">
        <f>D13*D14</f>
        <v>-968248302.8864696</v>
      </c>
      <c r="E15" s="20">
        <f>E13*E14</f>
        <v>-937026405.0575633</v>
      </c>
      <c r="F15" s="20">
        <f>F13*F14</f>
        <v>-906811280.9055465</v>
      </c>
    </row>
    <row r="17" spans="1:2" x14ac:dyDescent="0.25">
      <c r="A17" s="22" t="s">
        <v>52</v>
      </c>
      <c r="B17" s="23">
        <f>SUM(B15:F15)</f>
        <v>-4846444230.023111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-1222080942.7179554</v>
      </c>
    </row>
    <row r="5" spans="1:2" x14ac:dyDescent="0.25">
      <c r="A5" t="s">
        <v>56</v>
      </c>
      <c r="B5" s="18">
        <f>IF(Assumptions!$B$33=0,B4,B4-Forecast!F11-Forecast!F10-Forecast!F12)</f>
        <v>1913325473.5102267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0.36467915490169517</v>
      </c>
    </row>
    <row r="7" spans="1:2" x14ac:dyDescent="0.25">
      <c r="A7" t="s">
        <v>58</v>
      </c>
      <c r="B7" s="18">
        <f>-MAX(Forecast!F9,0)*B6</f>
        <v>-697749916.7315953</v>
      </c>
    </row>
    <row r="8" spans="1:2" x14ac:dyDescent="0.25">
      <c r="A8" t="s">
        <v>59</v>
      </c>
      <c r="B8" s="18">
        <f>IF(OR(Assumptions!$B$33=0,Assumptions!B12&lt;=0),B5,MAX(B5+B7,0))</f>
        <v>1215575556.7786314</v>
      </c>
    </row>
    <row r="9" spans="1:2" x14ac:dyDescent="0.25">
      <c r="A9" t="s">
        <v>60</v>
      </c>
      <c r="B9" s="18">
        <f>B8*(1+Assumptions!B12)/(Assumptions!B26-Assumptions!B12)</f>
        <v>28607746585.9954</v>
      </c>
    </row>
    <row r="10" spans="1:2" x14ac:dyDescent="0.25">
      <c r="A10" t="s">
        <v>61</v>
      </c>
      <c r="B10" s="18">
        <f>B9/(1+Assumptions!B26)^(5-0.5*Assumptions!B32)</f>
        <v>21227585193.96607</v>
      </c>
    </row>
    <row r="11" spans="1:2" x14ac:dyDescent="0.25">
      <c r="A11" t="s">
        <v>62</v>
      </c>
      <c r="B11" s="18">
        <f>Forecast!B17+B10</f>
        <v>16381140963.942957</v>
      </c>
    </row>
    <row r="12" spans="1:2" x14ac:dyDescent="0.25">
      <c r="A12" t="s">
        <v>63</v>
      </c>
      <c r="B12" s="18">
        <f>-Assumptions!B30</f>
        <v>-19817000000</v>
      </c>
    </row>
    <row r="13" spans="1:2" x14ac:dyDescent="0.25">
      <c r="A13" t="s">
        <v>64</v>
      </c>
      <c r="B13" s="18">
        <f>B11+B12</f>
        <v>-3435859036.057043</v>
      </c>
    </row>
    <row r="14" spans="1:2" x14ac:dyDescent="0.25">
      <c r="A14" s="19" t="s">
        <v>65</v>
      </c>
      <c r="B14" s="24">
        <f>B13/Assumptions!B31</f>
        <v>-12.622553402119923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4183029479.561485</v>
      </c>
    </row>
    <row r="18" spans="1:2" x14ac:dyDescent="0.25">
      <c r="A18" t="s">
        <v>60</v>
      </c>
      <c r="B18" s="18">
        <f>B17*Assumptions!B13</f>
        <v>54488872198.7282</v>
      </c>
    </row>
    <row r="19" spans="1:2" x14ac:dyDescent="0.25">
      <c r="A19" t="s">
        <v>61</v>
      </c>
      <c r="B19" s="18">
        <f>B18/(1+Assumptions!B26)^(5-0.5*Assumptions!B32)</f>
        <v>40431956891.28013</v>
      </c>
    </row>
    <row r="20" spans="1:2" x14ac:dyDescent="0.25">
      <c r="A20" t="s">
        <v>62</v>
      </c>
      <c r="B20" s="18">
        <f>Forecast!B17+B19</f>
        <v>35585512661.25702</v>
      </c>
    </row>
    <row r="21" spans="1:2" x14ac:dyDescent="0.25">
      <c r="A21" t="s">
        <v>63</v>
      </c>
      <c r="B21" s="18">
        <f>-Assumptions!B30</f>
        <v>-19817000000</v>
      </c>
    </row>
    <row r="22" spans="1:2" x14ac:dyDescent="0.25">
      <c r="A22" t="s">
        <v>64</v>
      </c>
      <c r="B22" s="18">
        <f>B20+B21</f>
        <v>15768512661.257019</v>
      </c>
    </row>
    <row r="23" spans="1:2" x14ac:dyDescent="0.25">
      <c r="A23" s="19" t="s">
        <v>65</v>
      </c>
      <c r="B23" s="25">
        <f>B22/Assumptions!B31</f>
        <v>57.92987752114996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102.23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-12.622553402119923</v>
      </c>
    </row>
    <row r="29" spans="1:2" x14ac:dyDescent="0.25">
      <c r="A29" s="19" t="s">
        <v>73</v>
      </c>
      <c r="B29" s="12">
        <f>B28/B26-1</f>
        <v>-1.1234721060561472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0.048553</v>
      </c>
      <c r="B5" s="31">
        <v>29.975561645461482</v>
      </c>
      <c r="C5" s="31">
        <v>32.12096956577918</v>
      </c>
      <c r="D5" s="31">
        <v>34.94168502797625</v>
      </c>
      <c r="E5" s="31">
        <v>38.98369052157955</v>
      </c>
      <c r="F5" s="31">
        <v>45.598668365713564</v>
      </c>
    </row>
    <row r="6" spans="1:6" x14ac:dyDescent="0.25">
      <c r="A6" s="30">
        <v>0.058553</v>
      </c>
      <c r="B6" s="31">
        <v>3.2998579843841487</v>
      </c>
      <c r="C6" s="31">
        <v>3.764496120881733</v>
      </c>
      <c r="D6" s="31">
        <v>4.229134257379346</v>
      </c>
      <c r="E6" s="31">
        <v>4.693772393876958</v>
      </c>
      <c r="F6" s="31">
        <v>5.1584105303745424</v>
      </c>
    </row>
    <row r="7" spans="1:6" x14ac:dyDescent="0.25">
      <c r="A7" s="30">
        <v>0.068553</v>
      </c>
      <c r="B7" s="31">
        <v>-13.382805091702771</v>
      </c>
      <c r="C7" s="31">
        <v>-13.00238629607476</v>
      </c>
      <c r="D7" s="32">
        <v>-12.621967500446763</v>
      </c>
      <c r="E7" s="31">
        <v>-12.24154870481875</v>
      </c>
      <c r="F7" s="31">
        <v>-11.861129909190767</v>
      </c>
    </row>
    <row r="8" spans="1:6" x14ac:dyDescent="0.25">
      <c r="A8" s="30">
        <v>0.078553</v>
      </c>
      <c r="B8" s="31">
        <v>-25.582624258062726</v>
      </c>
      <c r="C8" s="31">
        <v>-25.26426223840624</v>
      </c>
      <c r="D8" s="31">
        <v>-24.94590021874979</v>
      </c>
      <c r="E8" s="31">
        <v>-24.62753819909332</v>
      </c>
      <c r="F8" s="31">
        <v>-24.309176179436847</v>
      </c>
    </row>
    <row r="9" spans="1:6" x14ac:dyDescent="0.25">
      <c r="A9" s="30">
        <v>0.088553</v>
      </c>
      <c r="B9" s="31">
        <v>-34.83057049015767</v>
      </c>
      <c r="C9" s="31">
        <v>-34.55964844047727</v>
      </c>
      <c r="D9" s="31">
        <v>-34.288726390796846</v>
      </c>
      <c r="E9" s="31">
        <v>-34.01780434111645</v>
      </c>
      <c r="F9" s="31">
        <v>-33.74688229143605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8799000000</v>
      </c>
      <c r="C5" s="18">
        <v>7623000000</v>
      </c>
      <c r="D5" s="18">
        <v>7500000000</v>
      </c>
      <c r="E5" s="18">
        <v>7957000000</v>
      </c>
      <c r="F5" s="8" t="s">
        <v>84</v>
      </c>
    </row>
    <row r="6" spans="1:6" x14ac:dyDescent="0.25">
      <c r="A6" t="s">
        <v>44</v>
      </c>
      <c r="B6" s="18">
        <v>2026000000</v>
      </c>
      <c r="C6" s="18">
        <v>1516000000</v>
      </c>
      <c r="D6" s="18">
        <v>1558000000</v>
      </c>
      <c r="E6" s="18">
        <v>1515000000</v>
      </c>
      <c r="F6" s="8" t="s">
        <v>85</v>
      </c>
    </row>
    <row r="7" spans="1:6" x14ac:dyDescent="0.25">
      <c r="A7" t="s">
        <v>86</v>
      </c>
      <c r="B7" s="18">
        <v>1668000000</v>
      </c>
      <c r="C7" s="18">
        <v>1605000000</v>
      </c>
      <c r="D7" s="18">
        <v>1500000000</v>
      </c>
      <c r="E7" s="18">
        <v>1438000000</v>
      </c>
      <c r="F7" s="8" t="s">
        <v>87</v>
      </c>
    </row>
    <row r="8" spans="1:6" x14ac:dyDescent="0.25">
      <c r="A8" t="s">
        <v>88</v>
      </c>
      <c r="B8" s="18">
        <v>4174000000</v>
      </c>
      <c r="C8" s="18">
        <v>4410000000</v>
      </c>
      <c r="D8" s="18">
        <v>3771000000</v>
      </c>
      <c r="E8" s="18">
        <v>3380000000</v>
      </c>
      <c r="F8" s="8" t="s">
        <v>89</v>
      </c>
    </row>
    <row r="9" spans="1:6" x14ac:dyDescent="0.25">
      <c r="A9" t="s">
        <v>90</v>
      </c>
      <c r="B9" s="18">
        <v>51000000</v>
      </c>
      <c r="C9" s="18">
        <v>214000000</v>
      </c>
      <c r="D9" s="18">
        <v>326000000</v>
      </c>
      <c r="E9" s="18">
        <v>494000000</v>
      </c>
      <c r="F9" s="8" t="s">
        <v>91</v>
      </c>
    </row>
    <row r="10" spans="1:6" x14ac:dyDescent="0.25">
      <c r="A10" t="s">
        <v>92</v>
      </c>
      <c r="B10" s="18">
        <v>19830000000</v>
      </c>
      <c r="C10" s="18">
        <v>18722000000</v>
      </c>
      <c r="D10" s="18">
        <v>16506000000</v>
      </c>
      <c r="E10" s="18">
        <v>15095000000</v>
      </c>
      <c r="F10" s="8" t="s">
        <v>93</v>
      </c>
    </row>
    <row r="11" spans="1:6" x14ac:dyDescent="0.25">
      <c r="A11" t="s">
        <v>94</v>
      </c>
      <c r="B11" s="18">
        <v>13000000</v>
      </c>
      <c r="C11" s="18">
        <v>7000000</v>
      </c>
      <c r="D11" s="18">
        <v>25000000</v>
      </c>
      <c r="E11" s="18">
        <v>250000000</v>
      </c>
      <c r="F11" s="8" t="s">
        <v>95</v>
      </c>
    </row>
    <row r="12" spans="1:6" x14ac:dyDescent="0.25">
      <c r="A12" t="s">
        <v>32</v>
      </c>
      <c r="B12" s="34">
        <v>272200000</v>
      </c>
      <c r="C12" s="34">
        <v>267400000</v>
      </c>
      <c r="D12" s="34">
        <v>263400000</v>
      </c>
      <c r="E12" s="34">
        <v>259500000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