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<sst xmlns="http://schemas.openxmlformats.org/spreadsheetml/2006/main" count="114" uniqueCount="102">
  <si>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Agnico Eagle Mines Limited (AEM.TO)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</si>
  <si>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</si>
  <si>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</si>
  <si>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</si>
  <si>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</si>
  <si>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</si>
  <si>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</si>
  <si>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</si>
  <si>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</si>
  <si>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</si>
  <si>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</si>
  <si>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</si>
  <si>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</si>
  <si>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</si>
  <si>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</si>
  <si>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</si>
  <si>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</si>
  <si>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</si>
  <si>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</si>
  <si>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</si>
  <si>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</si>
  <si>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</si>
  <si>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</si>
  <si>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</si>
  <si>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</si>
  <si>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</si>
  <si>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</si>
  <si>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</si>
  <si>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</si>
  <si>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</si>
  <si>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</si>
  <si>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</si>
  <si>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</si>
  <si>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</si>
  <si>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</si>
  <si>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</si>
  <si>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</si>
  <si>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</si>
  <si>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</si>
  <si>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</si>
  <si>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</si>
  <si>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</si>
  <si>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</si>
  <si>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</si>
  <si>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</si>
  <si>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</si>
  <si>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</si>
  <si>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</si>
  <si>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</si>
  <si>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</si>
  <si>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</si>
  <si>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</si>
  <si>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</si>
  <si>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</si>
  <si>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</si>
  <si>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</si>
  <si>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</si>
  <si>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</si>
  <si>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</si>
  <si>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</si>
  <si>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</si>
  <si>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</si>
  <si>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</si>
  <si>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</si>
  <si>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</si>
  <si>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</si>
  <si>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</si>
  <si>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</si>
  <si>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</si>
  <si>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</si>
  <si>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</si>
  <si>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</si>
  <si>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</si>
  <si>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</si>
  <si>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</si>
  <si>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</si>
  <si>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</si>
  <si>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</si>
  <si>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</si>
  <si>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</si>
  <si>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</si>
  <si>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</si>
  <si>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</si>
  <si>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</si>
  <si>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</si>
  <si>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</si>
  <si>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</si>
  <si>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</si>
  <si>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</si>
  <si>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</si>
  <si>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</si>
  <si>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</si>
  <si>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</si>
  <si>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</si>
  <si>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</si>
  <si>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</si>
  <si>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</si>
  <si>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</si>
  <si>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</si>
  <si>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Adjusted: Capital expenditure runs at 27.7% of revenue against depreciation of 18.4%.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</si>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</sst>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0.2752965849461535</v>
      </c>
    </row>
    <row r="7" spans="1:2" x14ac:dyDescent="0.25">
      <c r="A7" t="s">
        <v>5</v>
      </c>
      <c r="B7" s="6">
        <v>0.3546398814993309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0.18417094644433923</v>
      </c>
    </row>
    <row r="10" spans="1:2" x14ac:dyDescent="0.25">
      <c r="A10" t="s">
        <v>8</v>
      </c>
      <c r="B10" s="6">
        <v>0.27653334237921556</v>
      </c>
    </row>
    <row r="11" spans="1:2" x14ac:dyDescent="0.25">
      <c r="A11" t="s">
        <v>9</v>
      </c>
      <c r="B11" s="6">
        <v>-0.04824082312743091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17.396547859356865</v>
      </c>
    </row>
    <row r="14" spans="1:3" x14ac:dyDescent="0.25">
      <c r="A14" t="s">
        <v>12</v>
      </c>
      <c r="B14" s="6">
        <v>0.08282492203746299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0.77756</v>
      </c>
      <c r="C19" s="8" t="s">
        <v>19</v>
      </c>
    </row>
    <row r="20" spans="1:2" x14ac:dyDescent="0.25">
      <c r="A20" t="s">
        <v>20</v>
      </c>
      <c r="B20" s="10">
        <f>B17+B19*B18</f>
        <v>0.0757658</v>
      </c>
    </row>
    <row r="21" spans="1:3" x14ac:dyDescent="0.25">
      <c r="A21" t="s">
        <v>21</v>
      </c>
      <c r="B21" s="6">
        <v>0.04170730308071826</v>
      </c>
      <c r="C21" s="8" t="s">
        <v>22</v>
      </c>
    </row>
    <row r="22" spans="1:2" x14ac:dyDescent="0.25">
      <c r="A22" t="s">
        <v>23</v>
      </c>
      <c r="B22" s="11">
        <v>141260603392</v>
      </c>
    </row>
    <row r="23" spans="1:2" x14ac:dyDescent="0.25">
      <c r="A23" t="s">
        <v>24</v>
      </c>
      <c r="B23" s="11">
        <v>321470000</v>
      </c>
    </row>
    <row r="24" spans="1:2" x14ac:dyDescent="0.25">
      <c r="A24" t="s">
        <v>25</v>
      </c>
      <c r="B24" s="10">
        <f>B22/(B22+B23)</f>
        <v>0.9977294441852823</v>
      </c>
    </row>
    <row r="25" spans="1:2" x14ac:dyDescent="0.25">
      <c r="A25" t="s">
        <v>26</v>
      </c>
      <c r="B25" s="10">
        <f>1-B24</f>
        <v>0.0022705558147176896</v>
      </c>
    </row>
    <row r="26" spans="1:2" x14ac:dyDescent="0.25">
      <c r="A26" t="s">
        <v>27</v>
      </c>
      <c r="B26" s="12">
        <f>B24*B20+B25*B21*(1-B8)</f>
        <v>0.07566337311050496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11907851000</v>
      </c>
      <c r="C29" s="8" t="s">
        <v>30</v>
      </c>
    </row>
    <row r="30" spans="1:2" x14ac:dyDescent="0.25">
      <c r="A30" t="s">
        <v>31</v>
      </c>
      <c r="B30" s="11">
        <v>-2553439000</v>
      </c>
    </row>
    <row r="31" spans="1:2" x14ac:dyDescent="0.25">
      <c r="A31" t="s">
        <v>32</v>
      </c>
      <c r="B31" s="13">
        <v>503434000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0.2752965849461535</v>
      </c>
      <c r="C5" s="10">
        <f>Assumptions!B6</f>
        <v>0.2752965849461535</v>
      </c>
      <c r="D5" s="10">
        <f>Assumptions!B6</f>
        <v>0.2752965849461535</v>
      </c>
      <c r="E5" s="10">
        <f>Assumptions!B6</f>
        <v>0.2752965849461535</v>
      </c>
      <c r="F5" s="10">
        <f>Assumptions!B6</f>
        <v>0.2752965849461535</v>
      </c>
    </row>
    <row r="6" spans="1:6" x14ac:dyDescent="0.25">
      <c r="A6" t="s">
        <v>43</v>
      </c>
      <c r="B6" s="18">
        <f>Assumptions!B29*(1+B5)</f>
        <v>15186041714.34764</v>
      </c>
      <c r="C6" s="18">
        <f>B6*(1+C5)</f>
        <v>19366707137.157375</v>
      </c>
      <c r="D6" s="18">
        <f>C6*(1+D5)</f>
        <v>24698295473.669098</v>
      </c>
      <c r="E6" s="18">
        <f>D6*(1+E5)</f>
        <v>31497651871.56124</v>
      </c>
      <c r="F6" s="18">
        <f>E6*(1+F5)</f>
        <v>40168847865.62487</v>
      </c>
    </row>
    <row r="7" spans="1:6" x14ac:dyDescent="0.25">
      <c r="A7" t="s">
        <v>5</v>
      </c>
      <c r="B7" s="10">
        <f>Assumptions!B7</f>
        <v>0.3546398814993309</v>
      </c>
      <c r="C7" s="10">
        <f>Assumptions!B7</f>
        <v>0.3546398814993309</v>
      </c>
      <c r="D7" s="10">
        <f>Assumptions!B7</f>
        <v>0.3546398814993309</v>
      </c>
      <c r="E7" s="10">
        <f>Assumptions!B7</f>
        <v>0.3546398814993309</v>
      </c>
      <c r="F7" s="10">
        <f>Assumptions!B7</f>
        <v>0.3546398814993309</v>
      </c>
    </row>
    <row r="8" spans="1:6" x14ac:dyDescent="0.25">
      <c r="A8" t="s">
        <v>44</v>
      </c>
      <c r="B8" s="18">
        <f>B6*B7</f>
        <v>5385576034.020143</v>
      </c>
      <c r="C8" s="18">
        <f>C6*C7</f>
        <v>6868206724.153738</v>
      </c>
      <c r="D8" s="18">
        <f>D6*D7</f>
        <v>8759000580.01747</v>
      </c>
      <c r="E8" s="18">
        <f>E6*E7</f>
        <v>11170323527.237658</v>
      </c>
      <c r="F8" s="18">
        <f>F6*F7</f>
        <v>14245475447.029856</v>
      </c>
    </row>
    <row r="9" spans="1:6" x14ac:dyDescent="0.25">
      <c r="A9" t="s">
        <v>45</v>
      </c>
      <c r="B9" s="18">
        <f>B8*(1-Assumptions!B8)</f>
        <v>3958398385.0048046</v>
      </c>
      <c r="C9" s="18">
        <f>C8*(1-Assumptions!B8)</f>
        <v>5048131942.252997</v>
      </c>
      <c r="D9" s="18">
        <f>D8*(1-Assumptions!B8)</f>
        <v>6437865426.3128395</v>
      </c>
      <c r="E9" s="18">
        <f>E8*(1-Assumptions!B8)</f>
        <v>8210187792.519678</v>
      </c>
      <c r="F9" s="18">
        <f>F8*(1-Assumptions!B8)</f>
        <v>10470424453.566944</v>
      </c>
    </row>
    <row r="10" spans="1:6" x14ac:dyDescent="0.25">
      <c r="A10" t="s">
        <v>46</v>
      </c>
      <c r="B10" s="18">
        <f>B6*Assumptions!B9</f>
        <v>2796827675.2746205</v>
      </c>
      <c r="C10" s="18">
        <f>C6*Assumptions!B9</f>
        <v>3566784782.9606133</v>
      </c>
      <c r="D10" s="18">
        <f>D6*Assumptions!B9</f>
        <v>4548708452.947577</v>
      </c>
      <c r="E10" s="18">
        <f>E6*Assumptions!B9</f>
        <v>5800952355.959746</v>
      </c>
      <c r="F10" s="18">
        <f>F6*Assumptions!B9</f>
        <v>7397934728.9908085</v>
      </c>
    </row>
    <row r="11" spans="1:6" x14ac:dyDescent="0.25">
      <c r="A11" t="s">
        <v>47</v>
      </c>
      <c r="B11" s="18">
        <f>-B6*Assumptions!B10</f>
        <v>-4199446872.778745</v>
      </c>
      <c r="C11" s="18">
        <f>-C6*Assumptions!B10</f>
        <v>-5355540255.517538</v>
      </c>
      <c r="D11" s="18">
        <f>-D6*Assumptions!B10</f>
        <v>-6829902198.403167</v>
      </c>
      <c r="E11" s="18">
        <f>-E6*Assumptions!B10</f>
        <v>-8710150949.139784</v>
      </c>
      <c r="F11" s="18">
        <f>-F6*Assumptions!B10</f>
        <v>-11108025759.803465</v>
      </c>
    </row>
    <row r="12" spans="1:6" x14ac:dyDescent="0.25">
      <c r="A12" t="s">
        <v>48</v>
      </c>
      <c r="B12" s="18">
        <f>-(B6-Assumptions!B29)*Assumptions!B11</f>
        <v>158142618.42883083</v>
      </c>
      <c r="C12" s="18">
        <f>-(C6-B6)*Assumptions!B11</f>
        <v>201678741.21673065</v>
      </c>
      <c r="D12" s="18">
        <f>-(D6-C6)*Assumptions!B11</f>
        <v>257200209.9299356</v>
      </c>
      <c r="E12" s="18">
        <f>-(E6-D6)*Assumptions!B11</f>
        <v>328006549.37108064</v>
      </c>
      <c r="F12" s="18">
        <f>-(F6-E6)*Assumptions!B11</f>
        <v>418305632.252911</v>
      </c>
    </row>
    <row r="13" spans="1:6" x14ac:dyDescent="0.25">
      <c r="A13" s="19" t="s">
        <v>49</v>
      </c>
      <c r="B13" s="20">
        <f>B9+B10+B11+B12</f>
        <v>2713921805.92951</v>
      </c>
      <c r="C13" s="20">
        <f>C9+C10+C11+C12</f>
        <v>3461055210.912804</v>
      </c>
      <c r="D13" s="20">
        <f>D9+D10+D11+D12</f>
        <v>4413871890.787187</v>
      </c>
      <c r="E13" s="20">
        <f>E9+E10+E11+E12</f>
        <v>5628995748.71072</v>
      </c>
      <c r="F13" s="20">
        <f>F9+F10+F11+F12</f>
        <v>7178639055.0072</v>
      </c>
    </row>
    <row r="14" spans="1:6" x14ac:dyDescent="0.25">
      <c r="A14" t="s">
        <v>50</v>
      </c>
      <c r="B14" s="21">
        <f>1/(1+Assumptions!$B$26)^(1-0.5*Assumptions!$B$32)</f>
        <v>0.9641881941657228</v>
      </c>
      <c r="C14" s="21">
        <f>1/(1+Assumptions!$B$26)^(2-0.5*Assumptions!$B$32)</f>
        <v>0.8963661106890456</v>
      </c>
      <c r="D14" s="21">
        <f>1/(1+Assumptions!$B$26)^(3-0.5*Assumptions!$B$32)</f>
        <v>0.8333147089474805</v>
      </c>
      <c r="E14" s="21">
        <f>1/(1+Assumptions!$B$26)^(4-0.5*Assumptions!$B$32)</f>
        <v>0.7746984138148881</v>
      </c>
      <c r="F14" s="21">
        <f>1/(1+Assumptions!$B$26)^(5-0.5*Assumptions!$B$32)</f>
        <v>0.7202052548974369</v>
      </c>
    </row>
    <row r="15" spans="1:6" x14ac:dyDescent="0.25">
      <c r="A15" s="19" t="s">
        <v>51</v>
      </c>
      <c r="B15" s="20">
        <f>B13*B14</f>
        <v>2616731365.1661515</v>
      </c>
      <c r="C15" s="20">
        <f>C13*C14</f>
        <v>3102372598.2859645</v>
      </c>
      <c r="D15" s="20">
        <f>D13*D14</f>
        <v>3678144370.00279</v>
      </c>
      <c r="E15" s="20">
        <f>E13*E14</f>
        <v>4360774077.896943</v>
      </c>
      <c r="F15" s="20">
        <f>F13*F14</f>
        <v>5170093570.428156</v>
      </c>
    </row>
    <row r="17" spans="1:2" x14ac:dyDescent="0.25">
      <c r="A17" s="22" t="s">
        <v>52</v>
      </c>
      <c r="B17" s="23">
        <f>SUM(B15:F15)</f>
        <v>18928115981.780006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7178639055.0072</v>
      </c>
    </row>
    <row r="5" spans="1:2" x14ac:dyDescent="0.25">
      <c r="A5" t="s">
        <v>56</v>
      </c>
      <c r="B5" s="18">
        <f>IF(Assumptions!$B$33=0,B4,B4-Forecast!F11-Forecast!F10-Forecast!F12)</f>
        <v>10470424453.566944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0.30184151563332734</v>
      </c>
    </row>
    <row r="7" spans="1:2" x14ac:dyDescent="0.25">
      <c r="A7" t="s">
        <v>58</v>
      </c>
      <c r="B7" s="18">
        <f>-MAX(Forecast!F9,0)*B6</f>
        <v>-3160408786.3889</v>
      </c>
    </row>
    <row r="8" spans="1:2" x14ac:dyDescent="0.25">
      <c r="A8" t="s">
        <v>59</v>
      </c>
      <c r="B8" s="18">
        <f>IF(OR(Assumptions!$B$33=0,Assumptions!B12&lt;=0),B5,MAX(B5+B7,0))</f>
        <v>7310015667.178044</v>
      </c>
    </row>
    <row r="9" spans="1:2" x14ac:dyDescent="0.25">
      <c r="A9" t="s">
        <v>60</v>
      </c>
      <c r="B9" s="18">
        <f>B8*(1+Assumptions!B12)/(Assumptions!B26-Assumptions!B12)</f>
        <v>147893154340.80096</v>
      </c>
    </row>
    <row r="10" spans="1:2" x14ac:dyDescent="0.25">
      <c r="A10" t="s">
        <v>61</v>
      </c>
      <c r="B10" s="18">
        <f>B9/(1+Assumptions!B26)^(5-0.5*Assumptions!B32)</f>
        <v>106513426919.60254</v>
      </c>
    </row>
    <row r="11" spans="1:2" x14ac:dyDescent="0.25">
      <c r="A11" t="s">
        <v>62</v>
      </c>
      <c r="B11" s="18">
        <f>Forecast!B17+B10</f>
        <v>125441542901.38254</v>
      </c>
    </row>
    <row r="12" spans="1:2" x14ac:dyDescent="0.25">
      <c r="A12" t="s">
        <v>63</v>
      </c>
      <c r="B12" s="18">
        <f>-Assumptions!B30</f>
        <v>2553439000</v>
      </c>
    </row>
    <row r="13" spans="1:2" x14ac:dyDescent="0.25">
      <c r="A13" t="s">
        <v>64</v>
      </c>
      <c r="B13" s="18">
        <f>B11+B12</f>
        <v>127994981901.38254</v>
      </c>
    </row>
    <row r="14" spans="1:2" x14ac:dyDescent="0.25">
      <c r="A14" s="19" t="s">
        <v>65</v>
      </c>
      <c r="B14" s="24">
        <f>B13/Assumptions!B31</f>
        <v>254.24381726578366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21643410176.020664</v>
      </c>
    </row>
    <row r="18" spans="1:2" x14ac:dyDescent="0.25">
      <c r="A18" t="s">
        <v>60</v>
      </c>
      <c r="B18" s="18">
        <f>B17*Assumptions!B13</f>
        <v>376520620966.8349</v>
      </c>
    </row>
    <row r="19" spans="1:2" x14ac:dyDescent="0.25">
      <c r="A19" t="s">
        <v>61</v>
      </c>
      <c r="B19" s="18">
        <f>B18/(1+Assumptions!B26)^(5-0.5*Assumptions!B32)</f>
        <v>271172129797.56055</v>
      </c>
    </row>
    <row r="20" spans="1:2" x14ac:dyDescent="0.25">
      <c r="A20" t="s">
        <v>62</v>
      </c>
      <c r="B20" s="18">
        <f>Forecast!B17+B19</f>
        <v>290100245779.3406</v>
      </c>
    </row>
    <row r="21" spans="1:2" x14ac:dyDescent="0.25">
      <c r="A21" t="s">
        <v>63</v>
      </c>
      <c r="B21" s="18">
        <f>-Assumptions!B30</f>
        <v>2553439000</v>
      </c>
    </row>
    <row r="22" spans="1:2" x14ac:dyDescent="0.25">
      <c r="A22" t="s">
        <v>64</v>
      </c>
      <c r="B22" s="18">
        <f>B20+B21</f>
        <v>292653684779.3406</v>
      </c>
    </row>
    <row r="23" spans="1:2" x14ac:dyDescent="0.25">
      <c r="A23" s="19" t="s">
        <v>65</v>
      </c>
      <c r="B23" s="25">
        <f>B22/Assumptions!B31</f>
        <v>581.3148988334927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278.97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355.48370530101874</v>
      </c>
    </row>
    <row r="29" spans="1:2" x14ac:dyDescent="0.25">
      <c r="A29" s="19" t="s">
        <v>73</v>
      </c>
      <c r="B29" s="12">
        <f>B28/B26-1</f>
        <v>0.27427216296024204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0.055663</v>
      </c>
      <c r="B5" s="31">
        <v>377.8991019397105</v>
      </c>
      <c r="C5" s="31">
        <v>398.33822323821045</v>
      </c>
      <c r="D5" s="31">
        <v>425.12218531284407</v>
      </c>
      <c r="E5" s="31">
        <v>461.9595417871941</v>
      </c>
      <c r="F5" s="31">
        <v>516.1484060037442</v>
      </c>
    </row>
    <row r="6" spans="1:6" x14ac:dyDescent="0.25">
      <c r="A6" s="30">
        <v>0.065663</v>
      </c>
      <c r="B6" s="31">
        <v>299.9750108996517</v>
      </c>
      <c r="C6" s="31">
        <v>308.3734877174621</v>
      </c>
      <c r="D6" s="31">
        <v>318.6054280525696</v>
      </c>
      <c r="E6" s="31">
        <v>331.44199397096605</v>
      </c>
      <c r="F6" s="31">
        <v>348.1573394611499</v>
      </c>
    </row>
    <row r="7" spans="1:6" x14ac:dyDescent="0.25">
      <c r="A7" s="30">
        <v>0.075663</v>
      </c>
      <c r="B7" s="31">
        <v>247.90400621936323</v>
      </c>
      <c r="C7" s="31">
        <v>250.87127240370273</v>
      </c>
      <c r="D7" s="32">
        <v>254.24574264898615</v>
      </c>
      <c r="E7" s="31">
        <v>258.16118085408516</v>
      </c>
      <c r="F7" s="31">
        <v>262.81714237392254</v>
      </c>
    </row>
    <row r="8" spans="1:6" x14ac:dyDescent="0.25">
      <c r="A8" s="30">
        <v>0.085663</v>
      </c>
      <c r="B8" s="31">
        <v>211.9412062136162</v>
      </c>
      <c r="C8" s="31">
        <v>212.77983700216083</v>
      </c>
      <c r="D8" s="31">
        <v>213.6184677907054</v>
      </c>
      <c r="E8" s="31">
        <v>214.45709857925004</v>
      </c>
      <c r="F8" s="31">
        <v>215.29572936779456</v>
      </c>
    </row>
    <row r="9" spans="1:6" x14ac:dyDescent="0.25">
      <c r="A9" s="30">
        <v>0.095663</v>
      </c>
      <c r="B9" s="31">
        <v>187.05185015194562</v>
      </c>
      <c r="C9" s="31">
        <v>187.77246178860213</v>
      </c>
      <c r="D9" s="31">
        <v>188.4930734252586</v>
      </c>
      <c r="E9" s="31">
        <v>189.21368506191513</v>
      </c>
      <c r="F9" s="31">
        <v>189.9342966985716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11907851000</v>
      </c>
      <c r="C5" s="18">
        <v>8285753000</v>
      </c>
      <c r="D5" s="18">
        <v>6626909000</v>
      </c>
      <c r="E5" s="18">
        <v>5741162000</v>
      </c>
      <c r="F5" s="8" t="s">
        <v>84</v>
      </c>
    </row>
    <row r="6" spans="1:6" x14ac:dyDescent="0.25">
      <c r="A6" t="s">
        <v>44</v>
      </c>
      <c r="B6" s="18">
        <v>6327961000</v>
      </c>
      <c r="C6" s="18">
        <v>3149429000</v>
      </c>
      <c r="D6" s="18">
        <v>1694633000</v>
      </c>
      <c r="E6" s="18">
        <v>1442909000</v>
      </c>
      <c r="F6" s="8" t="s">
        <v>85</v>
      </c>
    </row>
    <row r="7" spans="1:6" x14ac:dyDescent="0.25">
      <c r="A7" t="s">
        <v>86</v>
      </c>
      <c r="B7" s="18">
        <v>1645297000</v>
      </c>
      <c r="C7" s="18">
        <v>1514076000</v>
      </c>
      <c r="D7" s="18">
        <v>1491771000</v>
      </c>
      <c r="E7" s="18">
        <v>1094691000</v>
      </c>
      <c r="F7" s="8" t="s">
        <v>87</v>
      </c>
    </row>
    <row r="8" spans="1:6" x14ac:dyDescent="0.25">
      <c r="A8" t="s">
        <v>88</v>
      </c>
      <c r="B8" s="18">
        <v>2555132000</v>
      </c>
      <c r="C8" s="18">
        <v>1834245000</v>
      </c>
      <c r="D8" s="18">
        <v>2665696000</v>
      </c>
      <c r="E8" s="18">
        <v>1538237000</v>
      </c>
      <c r="F8" s="8" t="s">
        <v>89</v>
      </c>
    </row>
    <row r="9" spans="1:6" x14ac:dyDescent="0.25">
      <c r="A9" t="s">
        <v>90</v>
      </c>
      <c r="B9" s="18">
        <v>-804297000</v>
      </c>
      <c r="C9" s="18">
        <v>-80024000</v>
      </c>
      <c r="D9" s="18">
        <v>146396000</v>
      </c>
      <c r="E9" s="18">
        <v>19232000</v>
      </c>
      <c r="F9" s="8" t="s">
        <v>91</v>
      </c>
    </row>
    <row r="10" spans="1:6" x14ac:dyDescent="0.25">
      <c r="A10" t="s">
        <v>92</v>
      </c>
      <c r="B10" s="18">
        <v>321470000</v>
      </c>
      <c r="C10" s="18">
        <v>1282182000</v>
      </c>
      <c r="D10" s="18">
        <v>2004634000</v>
      </c>
      <c r="E10" s="18">
        <v>1493412000</v>
      </c>
      <c r="F10" s="8" t="s">
        <v>93</v>
      </c>
    </row>
    <row r="11" spans="1:6" x14ac:dyDescent="0.25">
      <c r="A11" t="s">
        <v>94</v>
      </c>
      <c r="B11" s="18">
        <v>2874909000</v>
      </c>
      <c r="C11" s="18">
        <v>933737000</v>
      </c>
      <c r="D11" s="18">
        <v>348847000</v>
      </c>
      <c r="E11" s="18">
        <v>668521000</v>
      </c>
      <c r="F11" s="8" t="s">
        <v>95</v>
      </c>
    </row>
    <row r="12" spans="1:6" x14ac:dyDescent="0.25">
      <c r="A12" t="s">
        <v>32</v>
      </c>
      <c r="B12" s="34">
        <v>503434000</v>
      </c>
      <c r="C12" s="34">
        <v>500861000</v>
      </c>
      <c r="D12" s="34">
        <v>489913000</v>
      </c>
      <c r="E12" s="34">
        <v>438533000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