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<sst xmlns="http://schemas.openxmlformats.org/spreadsheetml/2006/main" count="112" uniqueCount="100">
  <si>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Aena S.M.E., S.A. (AENA.MC)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</si>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</sst>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0.1452615422117267</v>
      </c>
    </row>
    <row r="7" spans="1:2" x14ac:dyDescent="0.25">
      <c r="A7" t="s">
        <v>5</v>
      </c>
      <c r="B7" s="6">
        <v>0.4163036858213289</v>
      </c>
    </row>
    <row r="8" spans="1:2" x14ac:dyDescent="0.25">
      <c r="A8" t="s">
        <v>6</v>
      </c>
      <c r="B8" s="6">
        <v>0.23200773321397214</v>
      </c>
    </row>
    <row r="9" spans="1:2" x14ac:dyDescent="0.25">
      <c r="A9" t="s">
        <v>7</v>
      </c>
      <c r="B9" s="6">
        <v>0.15640650770265746</v>
      </c>
    </row>
    <row r="10" spans="1:2" x14ac:dyDescent="0.25">
      <c r="A10" t="s">
        <v>8</v>
      </c>
      <c r="B10" s="6">
        <v>0.18954988668335238</v>
      </c>
    </row>
    <row r="11" spans="1:2" x14ac:dyDescent="0.25">
      <c r="A11" t="s">
        <v>9</v>
      </c>
      <c r="B11" s="6">
        <v>0.07063175319217121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11.401304090764969</v>
      </c>
    </row>
    <row r="14" spans="1:3" x14ac:dyDescent="0.25">
      <c r="A14" t="s">
        <v>12</v>
      </c>
      <c r="B14" s="6">
        <v>0.13426852415235896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0.83853</v>
      </c>
      <c r="C19" s="8" t="s">
        <v>19</v>
      </c>
    </row>
    <row r="20" spans="1:2" x14ac:dyDescent="0.25">
      <c r="A20" t="s">
        <v>20</v>
      </c>
      <c r="B20" s="10">
        <f>B17+B19*B18</f>
        <v>0.09650445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38069997568</v>
      </c>
    </row>
    <row r="23" spans="1:2" x14ac:dyDescent="0.25">
      <c r="A23" t="s">
        <v>24</v>
      </c>
      <c r="B23" s="11">
        <v>7281272000</v>
      </c>
    </row>
    <row r="24" spans="1:2" x14ac:dyDescent="0.25">
      <c r="A24" t="s">
        <v>25</v>
      </c>
      <c r="B24" s="10">
        <f>B22/(B22+B23)</f>
        <v>0.8394472289451035</v>
      </c>
    </row>
    <row r="25" spans="1:2" x14ac:dyDescent="0.25">
      <c r="A25" t="s">
        <v>26</v>
      </c>
      <c r="B25" s="10">
        <f>1-B24</f>
        <v>0.16055277105489651</v>
      </c>
    </row>
    <row r="26" spans="1:2" x14ac:dyDescent="0.25">
      <c r="A26" t="s">
        <v>27</v>
      </c>
      <c r="B26" s="12">
        <f>B24*B20+B25*B21*(1-B8)</f>
        <v>0.08618913116978288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6294312000</v>
      </c>
      <c r="C29" s="8" t="s">
        <v>30</v>
      </c>
    </row>
    <row r="30" spans="1:2" x14ac:dyDescent="0.25">
      <c r="A30" t="s">
        <v>31</v>
      </c>
      <c r="B30" s="11">
        <v>4828515000</v>
      </c>
    </row>
    <row r="31" spans="1:2" x14ac:dyDescent="0.25">
      <c r="A31" t="s">
        <v>32</v>
      </c>
      <c r="B31" s="13">
        <v>1500000000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0.1452615422117267</v>
      </c>
      <c r="C5" s="10">
        <f>Assumptions!B6</f>
        <v>0.1452615422117267</v>
      </c>
      <c r="D5" s="10">
        <f>Assumptions!B6</f>
        <v>0.1452615422117267</v>
      </c>
      <c r="E5" s="10">
        <f>Assumptions!B6</f>
        <v>0.1452615422117267</v>
      </c>
      <c r="F5" s="10">
        <f>Assumptions!B6</f>
        <v>0.1452615422117267</v>
      </c>
    </row>
    <row r="6" spans="1:6" x14ac:dyDescent="0.25">
      <c r="A6" t="s">
        <v>43</v>
      </c>
      <c r="B6" s="18">
        <f>Assumptions!B29*(1+B5)</f>
        <v>7208633468.281778</v>
      </c>
      <c r="C6" s="18">
        <f>B6*(1+C5)</f>
        <v>8255770683.123458</v>
      </c>
      <c r="D6" s="18">
        <f>C6*(1+D5)</f>
        <v>9455016664.700333</v>
      </c>
      <c r="E6" s="18">
        <f>D6*(1+E5)</f>
        <v>10828466967.05228</v>
      </c>
      <c r="F6" s="18">
        <f>E6*(1+F5)</f>
        <v>12401426778.475033</v>
      </c>
    </row>
    <row r="7" spans="1:6" x14ac:dyDescent="0.25">
      <c r="A7" t="s">
        <v>5</v>
      </c>
      <c r="B7" s="10">
        <f>Assumptions!B7</f>
        <v>0.4163036858213289</v>
      </c>
      <c r="C7" s="10">
        <f>Assumptions!B7</f>
        <v>0.4163036858213289</v>
      </c>
      <c r="D7" s="10">
        <f>Assumptions!B7</f>
        <v>0.4163036858213289</v>
      </c>
      <c r="E7" s="10">
        <f>Assumptions!B7</f>
        <v>0.4163036858213289</v>
      </c>
      <c r="F7" s="10">
        <f>Assumptions!B7</f>
        <v>0.4163036858213289</v>
      </c>
    </row>
    <row r="8" spans="1:6" x14ac:dyDescent="0.25">
      <c r="A8" t="s">
        <v>44</v>
      </c>
      <c r="B8" s="18">
        <f>B6*B7</f>
        <v>3000980682.5806937</v>
      </c>
      <c r="C8" s="18">
        <f>C6*C7</f>
        <v>3436907764.6799655</v>
      </c>
      <c r="D8" s="18">
        <f>D6*D7</f>
        <v>3936158287.016836</v>
      </c>
      <c r="E8" s="18">
        <f>E6*E7</f>
        <v>4507930710.17837</v>
      </c>
      <c r="F8" s="18">
        <f>F6*F7</f>
        <v>5162759677.322485</v>
      </c>
    </row>
    <row r="9" spans="1:6" x14ac:dyDescent="0.25">
      <c r="A9" t="s">
        <v>45</v>
      </c>
      <c r="B9" s="18">
        <f>B8*(1-Assumptions!B8)</f>
        <v>2304729956.996228</v>
      </c>
      <c r="C9" s="18">
        <f>C8*(1-Assumptions!B8)</f>
        <v>2639518584.9310665</v>
      </c>
      <c r="D9" s="18">
        <f>D8*(1-Assumptions!B8)</f>
        <v>3022939125.274668</v>
      </c>
      <c r="E9" s="18">
        <f>E8*(1-Assumptions!B8)</f>
        <v>3462055924.624235</v>
      </c>
      <c r="F9" s="18">
        <f>F8*(1-Assumptions!B8)</f>
        <v>3964959507.458397</v>
      </c>
    </row>
    <row r="10" spans="1:6" x14ac:dyDescent="0.25">
      <c r="A10" t="s">
        <v>46</v>
      </c>
      <c r="B10" s="18">
        <f>B6*Assumptions!B9</f>
        <v>1127477186.0824482</v>
      </c>
      <c r="C10" s="18">
        <f>C6*Assumptions!B9</f>
        <v>1291256260.9413228</v>
      </c>
      <c r="D10" s="18">
        <f>D6*Assumptions!B9</f>
        <v>1478826136.7962072</v>
      </c>
      <c r="E10" s="18">
        <f>E6*Assumptions!B9</f>
        <v>1693642702.0902343</v>
      </c>
      <c r="F10" s="18">
        <f>F6*Assumptions!B9</f>
        <v>1939663852.9514978</v>
      </c>
    </row>
    <row r="11" spans="1:6" x14ac:dyDescent="0.25">
      <c r="A11" t="s">
        <v>47</v>
      </c>
      <c r="B11" s="18">
        <f>-B6*Assumptions!B10</f>
        <v>-1366395657.0546324</v>
      </c>
      <c r="C11" s="18">
        <f>-C6*Assumptions!B10</f>
        <v>-1564880397.469794</v>
      </c>
      <c r="D11" s="18">
        <f>-D6*Assumptions!B10</f>
        <v>-1792197337.3831563</v>
      </c>
      <c r="E11" s="18">
        <f>-E6*Assumptions!B10</f>
        <v>-2052534686.559184</v>
      </c>
      <c r="F11" s="18">
        <f>-F6*Assumptions!B10</f>
        <v>-2350689040.571834</v>
      </c>
    </row>
    <row r="12" spans="1:6" x14ac:dyDescent="0.25">
      <c r="A12" t="s">
        <v>48</v>
      </c>
      <c r="B12" s="18">
        <f>-(B6-Assumptions!B29)*Assumptions!B11</f>
        <v>-64580128.28598217</v>
      </c>
      <c r="C12" s="18">
        <f>-(C6-B6)*Assumptions!B11</f>
        <v>-73961137.31703508</v>
      </c>
      <c r="D12" s="18">
        <f>-(D6-C6)*Assumptions!B11</f>
        <v>-84704846.18744092</v>
      </c>
      <c r="E12" s="18">
        <f>-(E6-D6)*Assumptions!B11</f>
        <v>-97009202.7774357</v>
      </c>
      <c r="F12" s="18">
        <f>-(F6-E6)*Assumptions!B11</f>
        <v>-111100909.18161602</v>
      </c>
    </row>
    <row r="13" spans="1:6" x14ac:dyDescent="0.25">
      <c r="A13" s="19" t="s">
        <v>49</v>
      </c>
      <c r="B13" s="20">
        <f>B9+B10+B11+B12</f>
        <v>2001231357.7380617</v>
      </c>
      <c r="C13" s="20">
        <f>C9+C10+C11+C12</f>
        <v>2291933311.0855603</v>
      </c>
      <c r="D13" s="20">
        <f>D9+D10+D11+D12</f>
        <v>2624863078.500278</v>
      </c>
      <c r="E13" s="20">
        <f>E9+E10+E11+E12</f>
        <v>3006154737.37785</v>
      </c>
      <c r="F13" s="20">
        <f>F9+F10+F11+F12</f>
        <v>3442833410.656445</v>
      </c>
    </row>
    <row r="14" spans="1:6" x14ac:dyDescent="0.25">
      <c r="A14" t="s">
        <v>50</v>
      </c>
      <c r="B14" s="21">
        <f>1/(1+Assumptions!$B$26)^(1-0.5*Assumptions!$B$32)</f>
        <v>0.9595050694301253</v>
      </c>
      <c r="C14" s="21">
        <f>1/(1+Assumptions!$B$26)^(2-0.5*Assumptions!$B$32)</f>
        <v>0.8833683213132283</v>
      </c>
      <c r="D14" s="21">
        <f>1/(1+Assumptions!$B$26)^(3-0.5*Assumptions!$B$32)</f>
        <v>0.8132730258144597</v>
      </c>
      <c r="E14" s="21">
        <f>1/(1+Assumptions!$B$26)^(4-0.5*Assumptions!$B$32)</f>
        <v>0.7487397935372422</v>
      </c>
      <c r="F14" s="21">
        <f>1/(1+Assumptions!$B$26)^(5-0.5*Assumptions!$B$32)</f>
        <v>0.6893272746440383</v>
      </c>
    </row>
    <row r="15" spans="1:6" x14ac:dyDescent="0.25">
      <c r="A15" s="19" t="s">
        <v>51</v>
      </c>
      <c r="B15" s="20">
        <f>B13*B14</f>
        <v>1920191632.8522027</v>
      </c>
      <c r="C15" s="20">
        <f>C13*C14</f>
        <v>2024621281.5755205</v>
      </c>
      <c r="D15" s="20">
        <f>D13*D14</f>
        <v>2134730338.2005787</v>
      </c>
      <c r="E15" s="20">
        <f>E13*E14</f>
        <v>2250827677.405294</v>
      </c>
      <c r="F15" s="20">
        <f>F13*F14</f>
        <v>2373238972.0212464</v>
      </c>
    </row>
    <row r="17" spans="1:2" x14ac:dyDescent="0.25">
      <c r="A17" s="22" t="s">
        <v>52</v>
      </c>
      <c r="B17" s="23">
        <f>SUM(B15:F15)</f>
        <v>10703609902.054842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3442833410.656445</v>
      </c>
    </row>
    <row r="5" spans="1:2" x14ac:dyDescent="0.25">
      <c r="A5" t="s">
        <v>56</v>
      </c>
      <c r="B5" s="18">
        <f>IF(Assumptions!$B$33=0,B4,B4-Forecast!F11-Forecast!F10-Forecast!F12)</f>
        <v>4109253190.922617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0.18619404776976375</v>
      </c>
    </row>
    <row r="7" spans="1:2" x14ac:dyDescent="0.25">
      <c r="A7" t="s">
        <v>58</v>
      </c>
      <c r="B7" s="18">
        <f>-MAX(Forecast!F9,0)*B6</f>
        <v>-765118484.9286999</v>
      </c>
    </row>
    <row r="8" spans="1:2" x14ac:dyDescent="0.25">
      <c r="A8" t="s">
        <v>59</v>
      </c>
      <c r="B8" s="18">
        <f>IF(OR(Assumptions!$B$33=0,Assumptions!B12&lt;=0),B5,MAX(B5+B7,0))</f>
        <v>3344134705.993917</v>
      </c>
    </row>
    <row r="9" spans="1:2" x14ac:dyDescent="0.25">
      <c r="A9" t="s">
        <v>60</v>
      </c>
      <c r="B9" s="18">
        <f>B8*(1+Assumptions!B12)/(Assumptions!B26-Assumptions!B12)</f>
        <v>56018740716.104324</v>
      </c>
    </row>
    <row r="10" spans="1:2" x14ac:dyDescent="0.25">
      <c r="A10" t="s">
        <v>61</v>
      </c>
      <c r="B10" s="18">
        <f>B9/(1+Assumptions!B26)^(5-0.5*Assumptions!B32)</f>
        <v>38615245866.82322</v>
      </c>
    </row>
    <row r="11" spans="1:2" x14ac:dyDescent="0.25">
      <c r="A11" t="s">
        <v>62</v>
      </c>
      <c r="B11" s="18">
        <f>Forecast!B17+B10</f>
        <v>49318855768.87806</v>
      </c>
    </row>
    <row r="12" spans="1:2" x14ac:dyDescent="0.25">
      <c r="A12" t="s">
        <v>63</v>
      </c>
      <c r="B12" s="18">
        <f>-Assumptions!B30</f>
        <v>-4828515000</v>
      </c>
    </row>
    <row r="13" spans="1:2" x14ac:dyDescent="0.25">
      <c r="A13" t="s">
        <v>64</v>
      </c>
      <c r="B13" s="18">
        <f>B11+B12</f>
        <v>44490340768.87806</v>
      </c>
    </row>
    <row r="14" spans="1:2" x14ac:dyDescent="0.25">
      <c r="A14" s="19" t="s">
        <v>65</v>
      </c>
      <c r="B14" s="24">
        <f>B13/Assumptions!B31</f>
        <v>29.66022717925204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7102423530.273983</v>
      </c>
    </row>
    <row r="18" spans="1:2" x14ac:dyDescent="0.25">
      <c r="A18" t="s">
        <v>60</v>
      </c>
      <c r="B18" s="18">
        <f>B17*Assumptions!B13</f>
        <v>80976890450.05814</v>
      </c>
    </row>
    <row r="19" spans="1:2" x14ac:dyDescent="0.25">
      <c r="A19" t="s">
        <v>61</v>
      </c>
      <c r="B19" s="18">
        <f>B18/(1+Assumptions!B26)^(5-0.5*Assumptions!B32)</f>
        <v>55819579203.087425</v>
      </c>
    </row>
    <row r="20" spans="1:2" x14ac:dyDescent="0.25">
      <c r="A20" t="s">
        <v>62</v>
      </c>
      <c r="B20" s="18">
        <f>Forecast!B17+B19</f>
        <v>66523189105.142265</v>
      </c>
    </row>
    <row r="21" spans="1:2" x14ac:dyDescent="0.25">
      <c r="A21" t="s">
        <v>63</v>
      </c>
      <c r="B21" s="18">
        <f>-Assumptions!B30</f>
        <v>-4828515000</v>
      </c>
    </row>
    <row r="22" spans="1:2" x14ac:dyDescent="0.25">
      <c r="A22" t="s">
        <v>64</v>
      </c>
      <c r="B22" s="18">
        <f>B20+B21</f>
        <v>61694674105.142265</v>
      </c>
    </row>
    <row r="23" spans="1:2" x14ac:dyDescent="0.25">
      <c r="A23" s="19" t="s">
        <v>65</v>
      </c>
      <c r="B23" s="25">
        <f>B22/Assumptions!B31</f>
        <v>41.12978273676151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25.38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29.66022717925204</v>
      </c>
    </row>
    <row r="29" spans="1:2" x14ac:dyDescent="0.25">
      <c r="A29" s="19" t="s">
        <v>73</v>
      </c>
      <c r="B29" s="12">
        <f>B28/B26-1</f>
        <v>0.16864567294137278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0.066189</v>
      </c>
      <c r="B5" s="31">
        <v>40.43590648583024</v>
      </c>
      <c r="C5" s="31">
        <v>42.8595571544912</v>
      </c>
      <c r="D5" s="31">
        <v>45.85306732981756</v>
      </c>
      <c r="E5" s="31">
        <v>49.65263841555031</v>
      </c>
      <c r="F5" s="31">
        <v>54.64593637264023</v>
      </c>
    </row>
    <row r="6" spans="1:6" x14ac:dyDescent="0.25">
      <c r="A6" s="30">
        <v>0.076189</v>
      </c>
      <c r="B6" s="31">
        <v>33.099404994409</v>
      </c>
      <c r="C6" s="31">
        <v>34.50548809062722</v>
      </c>
      <c r="D6" s="31">
        <v>36.171934180238225</v>
      </c>
      <c r="E6" s="31">
        <v>38.18329683445797</v>
      </c>
      <c r="F6" s="31">
        <v>40.665186009078774</v>
      </c>
    </row>
    <row r="7" spans="1:6" x14ac:dyDescent="0.25">
      <c r="A7" s="30">
        <v>0.086189</v>
      </c>
      <c r="B7" s="31">
        <v>27.833479786042805</v>
      </c>
      <c r="C7" s="31">
        <v>28.68320133743224</v>
      </c>
      <c r="D7" s="32">
        <v>29.66029860033435</v>
      </c>
      <c r="E7" s="31">
        <v>30.798775306310343</v>
      </c>
      <c r="F7" s="31">
        <v>32.14592074888237</v>
      </c>
    </row>
    <row r="8" spans="1:6" x14ac:dyDescent="0.25">
      <c r="A8" s="30">
        <v>0.096189</v>
      </c>
      <c r="B8" s="31">
        <v>23.87262065274646</v>
      </c>
      <c r="C8" s="31">
        <v>24.395478192714364</v>
      </c>
      <c r="D8" s="31">
        <v>24.982302962987273</v>
      </c>
      <c r="E8" s="31">
        <v>25.64759145776478</v>
      </c>
      <c r="F8" s="31">
        <v>26.410578439301016</v>
      </c>
    </row>
    <row r="9" spans="1:6" x14ac:dyDescent="0.25">
      <c r="A9" s="30">
        <v>0.106189</v>
      </c>
      <c r="B9" s="31">
        <v>20.787129828727327</v>
      </c>
      <c r="C9" s="31">
        <v>21.107920936115605</v>
      </c>
      <c r="D9" s="31">
        <v>21.4602448781381</v>
      </c>
      <c r="E9" s="31">
        <v>21.85030980189628</v>
      </c>
      <c r="F9" s="31">
        <v>22.286067985495393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6294312000</v>
      </c>
      <c r="C5" s="18">
        <v>5784328000</v>
      </c>
      <c r="D5" s="18">
        <v>5047917000</v>
      </c>
      <c r="E5" s="18">
        <v>4190195000</v>
      </c>
      <c r="F5" s="8" t="s">
        <v>84</v>
      </c>
    </row>
    <row r="6" spans="1:6" x14ac:dyDescent="0.25">
      <c r="A6" t="s">
        <v>44</v>
      </c>
      <c r="B6" s="18">
        <v>2965700000</v>
      </c>
      <c r="C6" s="18">
        <v>2625962000</v>
      </c>
      <c r="D6" s="18">
        <v>2105906000</v>
      </c>
      <c r="E6" s="18">
        <v>1352936000</v>
      </c>
      <c r="F6" s="8" t="s">
        <v>85</v>
      </c>
    </row>
    <row r="7" spans="1:6" x14ac:dyDescent="0.25">
      <c r="A7" t="s">
        <v>86</v>
      </c>
      <c r="B7" s="18">
        <v>796897000</v>
      </c>
      <c r="C7" s="18">
        <v>847811000</v>
      </c>
      <c r="D7" s="18">
        <v>821192000</v>
      </c>
      <c r="E7" s="18">
        <v>795175000</v>
      </c>
      <c r="F7" s="8" t="s">
        <v>87</v>
      </c>
    </row>
    <row r="8" spans="1:6" x14ac:dyDescent="0.25">
      <c r="A8" t="s">
        <v>88</v>
      </c>
      <c r="B8" s="18">
        <v>1059275000</v>
      </c>
      <c r="C8" s="18">
        <v>823001000</v>
      </c>
      <c r="D8" s="18">
        <v>1382938000</v>
      </c>
      <c r="E8" s="18">
        <v>727692000</v>
      </c>
      <c r="F8" s="8" t="s">
        <v>89</v>
      </c>
    </row>
    <row r="9" spans="1:6" x14ac:dyDescent="0.25">
      <c r="A9" t="s">
        <v>90</v>
      </c>
      <c r="B9" s="18">
        <v>88914000</v>
      </c>
      <c r="C9" s="18">
        <v>52014000</v>
      </c>
      <c r="D9" s="18">
        <v>31405000</v>
      </c>
      <c r="E9" s="18">
        <v>-92711000</v>
      </c>
      <c r="F9" s="8" t="s">
        <v>91</v>
      </c>
    </row>
    <row r="10" spans="1:6" x14ac:dyDescent="0.25">
      <c r="A10" t="s">
        <v>92</v>
      </c>
      <c r="B10" s="18">
        <v>7281272000</v>
      </c>
      <c r="C10" s="18">
        <v>7011662000</v>
      </c>
      <c r="D10" s="18">
        <v>8585560000</v>
      </c>
      <c r="E10" s="18">
        <v>7620927000</v>
      </c>
      <c r="F10" s="8" t="s">
        <v>93</v>
      </c>
    </row>
    <row r="11" spans="1:6" x14ac:dyDescent="0.25">
      <c r="A11" t="s">
        <v>94</v>
      </c>
      <c r="B11" s="18">
        <v>2452757000</v>
      </c>
      <c r="C11" s="18">
        <v>1884150000</v>
      </c>
      <c r="D11" s="18">
        <v>2452976000</v>
      </c>
      <c r="E11" s="18">
        <v>1573523000</v>
      </c>
      <c r="F11" s="8" t="s">
        <v>95</v>
      </c>
    </row>
    <row r="12" spans="1:6" x14ac:dyDescent="0.25">
      <c r="A12" t="s">
        <v>32</v>
      </c>
      <c r="B12" s="34">
        <v>1500000000</v>
      </c>
      <c r="C12" s="34">
        <v>1500000000</v>
      </c>
      <c r="D12" s="34">
        <v>1500000000</v>
      </c>
      <c r="E12" s="34">
        <v>1500000000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2026-09-19T01:59:52Z</dcterms:modified>
</cp:coreProperties>
</file>