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<sst xmlns="http://schemas.openxmlformats.org/spreadsheetml/2006/main" count="112" uniqueCount="100">
  <si>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American Electric Power Company, Inc. (AEP)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</si>
  <si>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</si>
  <si>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</si>
  <si>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</si>
  <si>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</si>
  <si>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</si>
  <si>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</si>
  <si>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</si>
  <si>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</si>
  <si>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</si>
  <si>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</si>
  <si>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</si>
  <si>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</si>
  <si>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</si>
  <si>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</si>
  <si>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</si>
  <si>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</si>
  <si>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</si>
  <si>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</si>
  <si>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</si>
  <si>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</si>
  <si>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</si>
  <si>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</si>
  <si>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</si>
  <si>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</si>
  <si>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</si>
  <si>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</si>
  <si>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</si>
  <si>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</si>
  <si>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</si>
  <si>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</si>
  <si>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</si>
  <si>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</si>
  <si>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</si>
  <si>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</si>
  <si>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</si>
  <si>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</si>
  <si>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</si>
  <si>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</si>
  <si>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</si>
  <si>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</si>
  <si>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</si>
  <si>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</si>
  <si>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</si>
  <si>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</si>
  <si>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</si>
  <si>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</si>
  <si>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</si>
  <si>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</si>
  <si>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</si>
  <si>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</si>
  <si>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</si>
  <si>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</si>
  <si>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</si>
  <si>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</si>
  <si>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</si>
  <si>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</si>
  <si>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</si>
  <si>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</si>
  <si>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</si>
  <si>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</si>
  <si>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</si>
  <si>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</si>
  <si>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</si>
  <si>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</si>
  <si>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</si>
  <si>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</si>
  <si>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</si>
  <si>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</si>
  <si>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</si>
  <si>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</si>
  <si>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</si>
  <si>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</si>
  <si>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</si>
  <si>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</si>
  <si>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</si>
  <si>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</si>
  <si>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</si>
  <si>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</si>
  <si>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</si>
  <si>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</si>
  <si>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</si>
  <si>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</si>
  <si>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</si>
  <si>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</si>
  <si>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</si>
  <si>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</si>
  <si>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</si>
  <si>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</si>
  <si>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</si>
  <si>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</si>
  <si>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</si>
  <si>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</si>
  <si>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</si>
  <si>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</si>
  <si>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</si>
  <si>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</si>
  <si>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</si>
  <si>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38.2% of revenue against depreciation of 16.7%.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</si>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</sst>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0.036603082441915236</v>
      </c>
    </row>
    <row r="7" spans="1:2" x14ac:dyDescent="0.25">
      <c r="A7" t="s">
        <v>5</v>
      </c>
      <c r="B7" s="6">
        <v>0.2152035196002667</v>
      </c>
    </row>
    <row r="8" spans="1:2" x14ac:dyDescent="0.25">
      <c r="A8" t="s">
        <v>6</v>
      </c>
      <c r="B8" s="6">
        <v>0.02489814395654142</v>
      </c>
    </row>
    <row r="9" spans="1:2" x14ac:dyDescent="0.25">
      <c r="A9" t="s">
        <v>7</v>
      </c>
      <c r="B9" s="6">
        <v>0.16668411133609953</v>
      </c>
    </row>
    <row r="10" spans="1:2" x14ac:dyDescent="0.25">
      <c r="A10" t="s">
        <v>8</v>
      </c>
      <c r="B10" s="6">
        <v>0.3816644107744158</v>
      </c>
    </row>
    <row r="11" spans="1:2" x14ac:dyDescent="0.25">
      <c r="A11" t="s">
        <v>9</v>
      </c>
      <c r="B11" s="6">
        <v>-0.6901217861975643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12.89369907955826</v>
      </c>
    </row>
    <row r="14" spans="1:3" x14ac:dyDescent="0.25">
      <c r="A14" t="s">
        <v>12</v>
      </c>
      <c r="B14" s="6">
        <v>0.07025028337729494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0.665</v>
      </c>
      <c r="C19" s="8" t="s">
        <v>19</v>
      </c>
    </row>
    <row r="20" spans="1:2" x14ac:dyDescent="0.25">
      <c r="A20" t="s">
        <v>20</v>
      </c>
      <c r="B20" s="10">
        <f>B17+B19*B18</f>
        <v>0.086555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65327685632</v>
      </c>
    </row>
    <row r="23" spans="1:2" x14ac:dyDescent="0.25">
      <c r="A23" t="s">
        <v>24</v>
      </c>
      <c r="B23" s="11">
        <v>49508000000</v>
      </c>
    </row>
    <row r="24" spans="1:2" x14ac:dyDescent="0.25">
      <c r="A24" t="s">
        <v>25</v>
      </c>
      <c r="B24" s="10">
        <f>B22/(B22+B23)</f>
        <v>0.568879658552723</v>
      </c>
    </row>
    <row r="25" spans="1:2" x14ac:dyDescent="0.25">
      <c r="A25" t="s">
        <v>26</v>
      </c>
      <c r="B25" s="10">
        <f>1-B24</f>
        <v>0.43112034144727696</v>
      </c>
    </row>
    <row r="26" spans="1:2" x14ac:dyDescent="0.25">
      <c r="A26" t="s">
        <v>27</v>
      </c>
      <c r="B26" s="12">
        <f>B24*B20+B25*B21*(1-B8)</f>
        <v>0.07025028337729494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21876000000</v>
      </c>
      <c r="C29" s="8" t="s">
        <v>30</v>
      </c>
    </row>
    <row r="30" spans="1:2" x14ac:dyDescent="0.25">
      <c r="A30" t="s">
        <v>31</v>
      </c>
      <c r="B30" s="11">
        <v>49091000000</v>
      </c>
    </row>
    <row r="31" spans="1:2" x14ac:dyDescent="0.25">
      <c r="A31" t="s">
        <v>32</v>
      </c>
      <c r="B31" s="13">
        <v>537467865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0.036603082441915236</v>
      </c>
      <c r="C5" s="10">
        <f>Assumptions!B6</f>
        <v>0.036603082441915236</v>
      </c>
      <c r="D5" s="10">
        <f>Assumptions!B6</f>
        <v>0.036603082441915236</v>
      </c>
      <c r="E5" s="10">
        <f>Assumptions!B6</f>
        <v>0.036603082441915236</v>
      </c>
      <c r="F5" s="10">
        <f>Assumptions!B6</f>
        <v>0.036603082441915236</v>
      </c>
    </row>
    <row r="6" spans="1:6" x14ac:dyDescent="0.25">
      <c r="A6" t="s">
        <v>43</v>
      </c>
      <c r="B6" s="18">
        <f>Assumptions!B29*(1+B5)</f>
        <v>22676729031.499336</v>
      </c>
      <c r="C6" s="18">
        <f>B6*(1+C5)</f>
        <v>23506767213.752277</v>
      </c>
      <c r="D6" s="18">
        <f>C6*(1+D5)</f>
        <v>24367187352.02016</v>
      </c>
      <c r="E6" s="18">
        <f>D6*(1+E5)</f>
        <v>25259101519.543747</v>
      </c>
      <c r="F6" s="18">
        <f>E6*(1+F5)</f>
        <v>26183662494.872314</v>
      </c>
    </row>
    <row r="7" spans="1:6" x14ac:dyDescent="0.25">
      <c r="A7" t="s">
        <v>5</v>
      </c>
      <c r="B7" s="10">
        <f>Assumptions!B7</f>
        <v>0.2152035196002667</v>
      </c>
      <c r="C7" s="10">
        <f>Assumptions!B7</f>
        <v>0.2152035196002667</v>
      </c>
      <c r="D7" s="10">
        <f>Assumptions!B7</f>
        <v>0.2152035196002667</v>
      </c>
      <c r="E7" s="10">
        <f>Assumptions!B7</f>
        <v>0.2152035196002667</v>
      </c>
      <c r="F7" s="10">
        <f>Assumptions!B7</f>
        <v>0.2152035196002667</v>
      </c>
    </row>
    <row r="8" spans="1:6" x14ac:dyDescent="0.25">
      <c r="A8" t="s">
        <v>44</v>
      </c>
      <c r="B8" s="18">
        <f>B6*B7</f>
        <v>4880111900.600204</v>
      </c>
      <c r="C8" s="18">
        <f>C6*C7</f>
        <v>5058739038.823645</v>
      </c>
      <c r="D8" s="18">
        <f>D6*D7</f>
        <v>5243904480.913841</v>
      </c>
      <c r="E8" s="18">
        <f>E6*E7</f>
        <v>5435847548.9462595</v>
      </c>
      <c r="F8" s="18">
        <f>F6*F7</f>
        <v>5634816324.922023</v>
      </c>
    </row>
    <row r="9" spans="1:6" x14ac:dyDescent="0.25">
      <c r="A9" t="s">
        <v>45</v>
      </c>
      <c r="B9" s="18">
        <f>B8*(1-Assumptions!B8)</f>
        <v>4758606171.97503</v>
      </c>
      <c r="C9" s="18">
        <f>C8*(1-Assumptions!B8)</f>
        <v>4932785825.996437</v>
      </c>
      <c r="D9" s="18">
        <f>D8*(1-Assumptions!B8)</f>
        <v>5113340992.2536955</v>
      </c>
      <c r="E9" s="18">
        <f>E8*(1-Assumptions!B8)</f>
        <v>5300505034.146783</v>
      </c>
      <c r="F9" s="18">
        <f>F8*(1-Assumptions!B8)</f>
        <v>5494519856.895445</v>
      </c>
    </row>
    <row r="10" spans="1:6" x14ac:dyDescent="0.25">
      <c r="A10" t="s">
        <v>46</v>
      </c>
      <c r="B10" s="18">
        <f>B6*Assumptions!B9</f>
        <v>3779850426.6249957</v>
      </c>
      <c r="C10" s="18">
        <f>C6*Assumptions!B9</f>
        <v>3918204603.408859</v>
      </c>
      <c r="D10" s="18">
        <f>D6*Assumptions!B9</f>
        <v>4061622969.531725</v>
      </c>
      <c r="E10" s="18">
        <f>E6*Assumptions!B9</f>
        <v>4210290889.9334707</v>
      </c>
      <c r="F10" s="18">
        <f>F6*Assumptions!B9</f>
        <v>4364400514.48215</v>
      </c>
    </row>
    <row r="11" spans="1:6" x14ac:dyDescent="0.25">
      <c r="A11" t="s">
        <v>47</v>
      </c>
      <c r="B11" s="18">
        <f>-B6*Assumptions!B10</f>
        <v>-8654900424.098284</v>
      </c>
      <c r="C11" s="18">
        <f>-C6*Assumptions!B10</f>
        <v>-8971696457.84812</v>
      </c>
      <c r="D11" s="18">
        <f>-D6*Assumptions!B10</f>
        <v>-9300088202.938572</v>
      </c>
      <c r="E11" s="18">
        <f>-E6*Assumptions!B10</f>
        <v>-9640500098.147816</v>
      </c>
      <c r="F11" s="18">
        <f>-F6*Assumptions!B10</f>
        <v>-9993372118.021612</v>
      </c>
    </row>
    <row r="12" spans="1:6" x14ac:dyDescent="0.25">
      <c r="A12" t="s">
        <v>48</v>
      </c>
      <c r="B12" s="18">
        <f>-(B6-Assumptions!B29)*Assumptions!B11</f>
        <v>552600549.4785676</v>
      </c>
      <c r="C12" s="18">
        <f>-(C6-B6)*Assumptions!B11</f>
        <v>572827432.9485791</v>
      </c>
      <c r="D12" s="18">
        <f>-(D6-C6)*Assumptions!B11</f>
        <v>593794682.7017869</v>
      </c>
      <c r="E12" s="18">
        <f>-(E6-D6)*Assumptions!B11</f>
        <v>615529398.4262909</v>
      </c>
      <c r="F12" s="18">
        <f>-(F6-E6)*Assumptions!B11</f>
        <v>638059671.7423131</v>
      </c>
    </row>
    <row r="13" spans="1:6" x14ac:dyDescent="0.25">
      <c r="A13" s="19" t="s">
        <v>49</v>
      </c>
      <c r="B13" s="20">
        <f>B9+B10+B11+B12</f>
        <v>436156723.980309</v>
      </c>
      <c r="C13" s="20">
        <f>C9+C10+C11+C12</f>
        <v>452121404.50575566</v>
      </c>
      <c r="D13" s="20">
        <f>D9+D10+D11+D12</f>
        <v>468670441.5486344</v>
      </c>
      <c r="E13" s="20">
        <f>E9+E10+E11+E12</f>
        <v>485825224.35872877</v>
      </c>
      <c r="F13" s="20">
        <f>F9+F10+F11+F12</f>
        <v>503607925.098295</v>
      </c>
    </row>
    <row r="14" spans="1:6" x14ac:dyDescent="0.25">
      <c r="A14" t="s">
        <v>50</v>
      </c>
      <c r="B14" s="21">
        <f>1/(1+Assumptions!$B$26)^(1-0.5*Assumptions!$B$32)</f>
        <v>0.9666234443566682</v>
      </c>
      <c r="C14" s="21">
        <f>1/(1+Assumptions!$B$26)^(2-0.5*Assumptions!$B$32)</f>
        <v>0.9031751351715409</v>
      </c>
      <c r="D14" s="21">
        <f>1/(1+Assumptions!$B$26)^(3-0.5*Assumptions!$B$32)</f>
        <v>0.8438915169650508</v>
      </c>
      <c r="E14" s="21">
        <f>1/(1+Assumptions!$B$26)^(4-0.5*Assumptions!$B$32)</f>
        <v>0.7884992230995319</v>
      </c>
      <c r="F14" s="21">
        <f>1/(1+Assumptions!$B$26)^(5-0.5*Assumptions!$B$32)</f>
        <v>0.7367428304819823</v>
      </c>
    </row>
    <row r="15" spans="1:6" x14ac:dyDescent="0.25">
      <c r="A15" s="19" t="s">
        <v>51</v>
      </c>
      <c r="B15" s="20">
        <f>B13*B14</f>
        <v>421599314.8131669</v>
      </c>
      <c r="C15" s="20">
        <f>C13*C14</f>
        <v>408344810.6284328</v>
      </c>
      <c r="D15" s="20">
        <f>D13*D14</f>
        <v>395507009.8751573</v>
      </c>
      <c r="E15" s="20">
        <f>E13*E14</f>
        <v>383072811.9690134</v>
      </c>
      <c r="F15" s="20">
        <f>F13*F14</f>
        <v>371029528.190076</v>
      </c>
    </row>
    <row r="17" spans="1:2" x14ac:dyDescent="0.25">
      <c r="A17" s="22" t="s">
        <v>52</v>
      </c>
      <c r="B17" s="23">
        <f>SUM(B15:F15)</f>
        <v>1979553475.4758463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503607925.098295</v>
      </c>
    </row>
    <row r="5" spans="1:2" x14ac:dyDescent="0.25">
      <c r="A5" t="s">
        <v>56</v>
      </c>
      <c r="B5" s="18">
        <f>IF(Assumptions!$B$33=0,B4,B4-Forecast!F11-Forecast!F10-Forecast!F12)</f>
        <v>5494519856.895445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0.355870450596361</v>
      </c>
    </row>
    <row r="7" spans="1:2" x14ac:dyDescent="0.25">
      <c r="A7" t="s">
        <v>58</v>
      </c>
      <c r="B7" s="18">
        <f>-MAX(Forecast!F9,0)*B6</f>
        <v>-1955337257.284035</v>
      </c>
    </row>
    <row r="8" spans="1:2" x14ac:dyDescent="0.25">
      <c r="A8" t="s">
        <v>59</v>
      </c>
      <c r="B8" s="18">
        <f>IF(OR(Assumptions!$B$33=0,Assumptions!B12&lt;=0),B5,MAX(B5+B7,0))</f>
        <v>3539182599.61141</v>
      </c>
    </row>
    <row r="9" spans="1:2" x14ac:dyDescent="0.25">
      <c r="A9" t="s">
        <v>60</v>
      </c>
      <c r="B9" s="18">
        <f>B8*(1+Assumptions!B12)/(Assumptions!B26-Assumptions!B12)</f>
        <v>80168827548.64543</v>
      </c>
    </row>
    <row r="10" spans="1:2" x14ac:dyDescent="0.25">
      <c r="A10" t="s">
        <v>61</v>
      </c>
      <c r="B10" s="18">
        <f>B9/(1+Assumptions!B26)^(5-0.5*Assumptions!B32)</f>
        <v>59063808924.610954</v>
      </c>
    </row>
    <row r="11" spans="1:2" x14ac:dyDescent="0.25">
      <c r="A11" t="s">
        <v>62</v>
      </c>
      <c r="B11" s="18">
        <f>Forecast!B17+B10</f>
        <v>61043362400.0868</v>
      </c>
    </row>
    <row r="12" spans="1:2" x14ac:dyDescent="0.25">
      <c r="A12" t="s">
        <v>63</v>
      </c>
      <c r="B12" s="18">
        <f>-Assumptions!B30</f>
        <v>-49091000000</v>
      </c>
    </row>
    <row r="13" spans="1:2" x14ac:dyDescent="0.25">
      <c r="A13" t="s">
        <v>64</v>
      </c>
      <c r="B13" s="18">
        <f>B11+B12</f>
        <v>11952362400.0868</v>
      </c>
    </row>
    <row r="14" spans="1:2" x14ac:dyDescent="0.25">
      <c r="A14" s="19" t="s">
        <v>65</v>
      </c>
      <c r="B14" s="24">
        <f>B13/Assumptions!B31</f>
        <v>22.23828284149937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9999216839.404173</v>
      </c>
    </row>
    <row r="18" spans="1:2" x14ac:dyDescent="0.25">
      <c r="A18" t="s">
        <v>60</v>
      </c>
      <c r="B18" s="18">
        <f>B17*Assumptions!B13</f>
        <v>128926892958.52904</v>
      </c>
    </row>
    <row r="19" spans="1:2" x14ac:dyDescent="0.25">
      <c r="A19" t="s">
        <v>61</v>
      </c>
      <c r="B19" s="18">
        <f>B18/(1+Assumptions!B26)^(5-0.5*Assumptions!B32)</f>
        <v>94985964043.51424</v>
      </c>
    </row>
    <row r="20" spans="1:2" x14ac:dyDescent="0.25">
      <c r="A20" t="s">
        <v>62</v>
      </c>
      <c r="B20" s="18">
        <f>Forecast!B17+B19</f>
        <v>96965517518.99008</v>
      </c>
    </row>
    <row r="21" spans="1:2" x14ac:dyDescent="0.25">
      <c r="A21" t="s">
        <v>63</v>
      </c>
      <c r="B21" s="18">
        <f>-Assumptions!B30</f>
        <v>-49091000000</v>
      </c>
    </row>
    <row r="22" spans="1:2" x14ac:dyDescent="0.25">
      <c r="A22" t="s">
        <v>64</v>
      </c>
      <c r="B22" s="18">
        <f>B20+B21</f>
        <v>47874517518.99008</v>
      </c>
    </row>
    <row r="23" spans="1:2" x14ac:dyDescent="0.25">
      <c r="A23" s="19" t="s">
        <v>65</v>
      </c>
      <c r="B23" s="25">
        <f>B22/Assumptions!B31</f>
        <v>89.07419519674926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120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22.23828284149937</v>
      </c>
    </row>
    <row r="29" spans="1:2" x14ac:dyDescent="0.25">
      <c r="A29" s="19" t="s">
        <v>73</v>
      </c>
      <c r="B29" s="12">
        <f>B28/B26-1</f>
        <v>-0.8146809763208386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0.05025</v>
      </c>
      <c r="B5" s="31">
        <v>88.06271693168355</v>
      </c>
      <c r="C5" s="31">
        <v>94.45365399859604</v>
      </c>
      <c r="D5" s="31">
        <v>103.09809004338614</v>
      </c>
      <c r="E5" s="31">
        <v>115.66528356818554</v>
      </c>
      <c r="F5" s="31">
        <v>136.0136845533313</v>
      </c>
    </row>
    <row r="6" spans="1:6" x14ac:dyDescent="0.25">
      <c r="A6" s="30">
        <v>0.06025</v>
      </c>
      <c r="B6" s="31">
        <v>44.78871812338206</v>
      </c>
      <c r="C6" s="31">
        <v>45.44072613495518</v>
      </c>
      <c r="D6" s="31">
        <v>46.092734146528215</v>
      </c>
      <c r="E6" s="31">
        <v>46.7447421581013</v>
      </c>
      <c r="F6" s="31">
        <v>47.39675016967437</v>
      </c>
    </row>
    <row r="7" spans="1:6" x14ac:dyDescent="0.25">
      <c r="A7" s="30">
        <v>0.07025</v>
      </c>
      <c r="B7" s="31">
        <v>21.16672968404281</v>
      </c>
      <c r="C7" s="31">
        <v>21.702794564127885</v>
      </c>
      <c r="D7" s="32">
        <v>22.238859444212892</v>
      </c>
      <c r="E7" s="31">
        <v>22.774924324297956</v>
      </c>
      <c r="F7" s="31">
        <v>23.310989204382988</v>
      </c>
    </row>
    <row r="8" spans="1:6" x14ac:dyDescent="0.25">
      <c r="A8" s="30">
        <v>0.08025</v>
      </c>
      <c r="B8" s="31">
        <v>3.61976751081373</v>
      </c>
      <c r="C8" s="31">
        <v>4.069799069555474</v>
      </c>
      <c r="D8" s="31">
        <v>4.519830628297176</v>
      </c>
      <c r="E8" s="31">
        <v>4.96986218703892</v>
      </c>
      <c r="F8" s="31">
        <v>5.419893745780651</v>
      </c>
    </row>
    <row r="9" spans="1:6" x14ac:dyDescent="0.25">
      <c r="A9" s="30">
        <v>0.09025</v>
      </c>
      <c r="B9" s="31">
        <v>-9.881369262304839</v>
      </c>
      <c r="C9" s="31">
        <v>-9.497456447495829</v>
      </c>
      <c r="D9" s="31">
        <v>-9.113543632686847</v>
      </c>
      <c r="E9" s="31">
        <v>-8.729630817877863</v>
      </c>
      <c r="F9" s="31">
        <v>-8.345718003068868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21876000000</v>
      </c>
      <c r="C5" s="18">
        <v>19721000000</v>
      </c>
      <c r="D5" s="18">
        <v>18982000000</v>
      </c>
      <c r="E5" s="18">
        <v>19639500000</v>
      </c>
      <c r="F5" s="8" t="s">
        <v>84</v>
      </c>
    </row>
    <row r="6" spans="1:6" x14ac:dyDescent="0.25">
      <c r="A6" t="s">
        <v>44</v>
      </c>
      <c r="B6" s="18">
        <v>5385000000</v>
      </c>
      <c r="C6" s="18">
        <v>4447000000</v>
      </c>
      <c r="D6" s="18">
        <v>3735000000</v>
      </c>
      <c r="E6" s="18">
        <v>3778500000</v>
      </c>
      <c r="F6" s="8" t="s">
        <v>85</v>
      </c>
    </row>
    <row r="7" spans="1:6" x14ac:dyDescent="0.25">
      <c r="A7" t="s">
        <v>86</v>
      </c>
      <c r="B7" s="18">
        <v>3489000000</v>
      </c>
      <c r="C7" s="18">
        <v>3393000000</v>
      </c>
      <c r="D7" s="18">
        <v>3187000000</v>
      </c>
      <c r="E7" s="18">
        <v>3285700000</v>
      </c>
      <c r="F7" s="8" t="s">
        <v>87</v>
      </c>
    </row>
    <row r="8" spans="1:6" x14ac:dyDescent="0.25">
      <c r="A8" t="s">
        <v>88</v>
      </c>
      <c r="B8" s="18">
        <v>8583000000</v>
      </c>
      <c r="C8" s="18">
        <v>7771000000</v>
      </c>
      <c r="D8" s="18">
        <v>7506000000</v>
      </c>
      <c r="E8" s="18">
        <v>6772400000</v>
      </c>
      <c r="F8" s="8" t="s">
        <v>89</v>
      </c>
    </row>
    <row r="9" spans="1:6" x14ac:dyDescent="0.25">
      <c r="A9" t="s">
        <v>90</v>
      </c>
      <c r="B9" s="18">
        <v>-341000000</v>
      </c>
      <c r="C9" s="18">
        <v>-510000000</v>
      </c>
      <c r="D9" s="18">
        <v>705000000</v>
      </c>
      <c r="E9" s="18">
        <v>237700000</v>
      </c>
      <c r="F9" s="8" t="s">
        <v>91</v>
      </c>
    </row>
    <row r="10" spans="1:6" x14ac:dyDescent="0.25">
      <c r="A10" t="s">
        <v>92</v>
      </c>
      <c r="B10" s="18">
        <v>49508000000</v>
      </c>
      <c r="C10" s="18">
        <v>45763000000</v>
      </c>
      <c r="D10" s="18">
        <v>43608500000</v>
      </c>
      <c r="E10" s="18">
        <v>41579300000</v>
      </c>
      <c r="F10" s="8" t="s">
        <v>93</v>
      </c>
    </row>
    <row r="11" spans="1:6" x14ac:dyDescent="0.25">
      <c r="A11" t="s">
        <v>94</v>
      </c>
      <c r="B11" s="18">
        <v>417000000</v>
      </c>
      <c r="C11" s="18">
        <v>418000000</v>
      </c>
      <c r="D11" s="18">
        <v>544400000</v>
      </c>
      <c r="E11" s="18">
        <v>697000000</v>
      </c>
      <c r="F11" s="8" t="s">
        <v>95</v>
      </c>
    </row>
    <row r="12" spans="1:6" x14ac:dyDescent="0.25">
      <c r="A12" t="s">
        <v>32</v>
      </c>
      <c r="B12" s="34">
        <v>537467865</v>
      </c>
      <c r="C12" s="34">
        <v>531337703</v>
      </c>
      <c r="D12" s="34">
        <v>520206258</v>
      </c>
      <c r="E12" s="34">
        <v>513484609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2026-09-19T00:07:04Z</dcterms:modified>
</cp:coreProperties>
</file>