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<sst xmlns="http://schemas.openxmlformats.org/spreadsheetml/2006/main" count="121" uniqueCount="108">
  <si>
    <t>American Electric Power Company, Inc. (AEP)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</si>
  <si>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</si>
  <si>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</si>
  <si>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</si>
  <si>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</si>
  <si>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</si>
  <si>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</si>
  <si>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</si>
  <si>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</si>
  <si>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</si>
  <si>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</si>
  <si>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</si>
  <si>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</si>
  <si>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</si>
  <si>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</si>
  <si>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</si>
  <si>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</si>
  <si>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</si>
  <si>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</si>
  <si>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</si>
  <si>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</si>
  <si>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</si>
  <si>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</si>
  <si>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</si>
  <si>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+ 111bp, the spread for a BBB rating at 2.7x interest cover. Book interest / average debt was lower, at 4.3%.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</si>
  <si>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</si>
  <si>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</si>
  <si>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</si>
  <si>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</si>
  <si>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</si>
  <si>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</si>
  <si>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</si>
  <si>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</si>
  <si>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</si>
  <si>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</si>
  <si>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</si>
  <si>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</si>
  <si>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</si>
  <si>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</si>
  <si>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</si>
  <si>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</si>
  <si>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</si>
  <si>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</si>
  <si>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</si>
  <si>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</si>
  <si>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</si>
  <si>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</si>
  <si>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</si>
  <si>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</si>
  <si>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</si>
  <si>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</si>
  <si>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</si>
  <si>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</si>
  <si>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</si>
  <si>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</si>
  <si>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</si>
  <si>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</si>
  <si>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</si>
  <si>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</si>
  <si>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</si>
  <si>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</si>
  <si>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</si>
  <si>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</si>
  <si>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</si>
  <si>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</si>
  <si>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</si>
  <si>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</si>
  <si>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</si>
  <si>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</si>
  <si>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</si>
  <si>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</si>
  <si>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</si>
  <si>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</si>
  <si>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</si>
  <si>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</si>
  <si>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</si>
  <si>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</si>
  <si>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</si>
  <si>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</si>
  <si>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</si>
  <si>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</si>
  <si>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</si>
  <si>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</si>
  <si>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</si>
  <si>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</si>
  <si>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</si>
  <si>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</si>
  <si>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</si>
  <si>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</si>
  <si>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</si>
  <si>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</si>
  <si>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</si>
  <si>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</si>
  <si>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</si>
  <si>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</si>
  <si>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</si>
  <si>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</si>
  <si>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</si>
  <si>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</si>
  <si>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</si>
  <si>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</si>
  <si>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</si>
  <si>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</si>
  <si>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</si>
  <si>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</si>
  <si>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Free cashflow is negative in at least one forecast year, so terminal value carries most of the valuation.</t>
  </si>
  <si>
    <t>Adjusted: Capital expenditure runs at 44.4% of revenue against depreciation of 16.7%. A perpetuity has to be a steady state, so the forecast tapers capex to maintenance at depreciation plus the reinvestment terminal growth requires (g/ROIC of NOPAT), and the terminal year carries on from there. The bridge is shown under Terminal Value.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</si>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</sst>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0.07630356189431331</v>
      </c>
    </row>
    <row r="7" spans="1:2" x14ac:dyDescent="0.25">
      <c r="A7" t="s">
        <v>4</v>
      </c>
      <c r="B7" s="5">
        <v>0.21473253001295542</v>
      </c>
    </row>
    <row r="8" spans="1:2" x14ac:dyDescent="0.25">
      <c r="A8" t="s">
        <v>5</v>
      </c>
      <c r="B8" s="5">
        <v>0.02489814395654142</v>
      </c>
    </row>
    <row r="9" spans="1:2" x14ac:dyDescent="0.25">
      <c r="A9" t="s">
        <v>6</v>
      </c>
      <c r="B9" s="5">
        <v>0.16668411133609953</v>
      </c>
    </row>
    <row r="10" spans="1:3" x14ac:dyDescent="0.25">
      <c r="A10" t="s">
        <v>7</v>
      </c>
      <c r="B10" s="5">
        <v>0.4435931945083569</v>
      </c>
      <c r="C10" s="6" t="s">
        <v>8</v>
      </c>
    </row>
    <row r="11" spans="1:2" x14ac:dyDescent="0.25">
      <c r="A11" t="s">
        <v>9</v>
      </c>
      <c r="B11" s="5">
        <v>0.06021961814239572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13.529312057696641</v>
      </c>
    </row>
    <row r="14" spans="1:3" x14ac:dyDescent="0.25">
      <c r="A14" t="s">
        <v>12</v>
      </c>
      <c r="B14" s="5">
        <v>0.06848886926084008</v>
      </c>
      <c r="C14" s="6" t="s">
        <v>13</v>
      </c>
    </row>
    <row r="15" spans="1:3" x14ac:dyDescent="0.25">
      <c r="A15" t="s">
        <v>14</v>
      </c>
      <c r="B15" s="5">
        <v>0.16668411133609953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0.6261399999999999</v>
      </c>
      <c r="C19" s="6" t="s">
        <v>21</v>
      </c>
    </row>
    <row r="20" spans="1:2" x14ac:dyDescent="0.25">
      <c r="A20" t="s">
        <v>22</v>
      </c>
      <c r="B20" s="9">
        <f>B17+B19*B18</f>
        <v>0.075425722</v>
      </c>
    </row>
    <row r="21" spans="1:3" x14ac:dyDescent="0.25">
      <c r="A21" t="s">
        <v>23</v>
      </c>
      <c r="B21" s="5">
        <v>0.06004</v>
      </c>
      <c r="C21" s="6" t="s">
        <v>24</v>
      </c>
    </row>
    <row r="22" spans="1:2" x14ac:dyDescent="0.25">
      <c r="A22" t="s">
        <v>25</v>
      </c>
      <c r="B22" s="10">
        <v>70968115200</v>
      </c>
    </row>
    <row r="23" spans="1:2" x14ac:dyDescent="0.25">
      <c r="A23" t="s">
        <v>26</v>
      </c>
      <c r="B23" s="10">
        <v>49508000000</v>
      </c>
    </row>
    <row r="24" spans="1:2" x14ac:dyDescent="0.25">
      <c r="A24" t="s">
        <v>27</v>
      </c>
      <c r="B24" s="9">
        <f>B22/(B22+B23)</f>
        <v>0.589063774858504</v>
      </c>
    </row>
    <row r="25" spans="1:2" x14ac:dyDescent="0.25">
      <c r="A25" t="s">
        <v>28</v>
      </c>
      <c r="B25" s="9">
        <f>1-B24</f>
        <v>0.41093622514149597</v>
      </c>
    </row>
    <row r="26" spans="1:2" x14ac:dyDescent="0.25">
      <c r="A26" t="s">
        <v>29</v>
      </c>
      <c r="B26" s="11">
        <f>B24*B20+B25*B21*(1-B8)</f>
        <v>0.06848886926084008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21876000000</v>
      </c>
      <c r="C29" s="6" t="s">
        <v>32</v>
      </c>
    </row>
    <row r="30" spans="1:2" x14ac:dyDescent="0.25">
      <c r="A30" t="s">
        <v>33</v>
      </c>
      <c r="B30" s="10">
        <v>49091000000</v>
      </c>
    </row>
    <row r="31" spans="1:2" x14ac:dyDescent="0.25">
      <c r="A31" t="s">
        <v>34</v>
      </c>
      <c r="B31" s="12">
        <v>537467865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0.07630356189431331</v>
      </c>
      <c r="C5" s="5">
        <v>0.05997426852310572</v>
      </c>
      <c r="D5" s="5">
        <v>0.05560248495771751</v>
      </c>
      <c r="E5" s="5">
        <v>0.05123070139232929</v>
      </c>
      <c r="F5" s="5">
        <v>0.04685891782694108</v>
      </c>
      <c r="G5" s="5">
        <v>0.04248713426155286</v>
      </c>
      <c r="H5" s="5">
        <v>0.038115350696164646</v>
      </c>
      <c r="I5" s="5">
        <v>0.03374356713077643</v>
      </c>
      <c r="J5" s="5">
        <v>0.029371783565388217</v>
      </c>
      <c r="K5" s="5">
        <v>0.025</v>
      </c>
    </row>
    <row r="6" spans="1:11" x14ac:dyDescent="0.25">
      <c r="A6" t="s">
        <v>50</v>
      </c>
      <c r="B6" s="18">
        <f>Assumptions!B29*(1+B5)</f>
        <v>23545216719.999996</v>
      </c>
      <c r="C6" s="18">
        <f>B6*(1+C5)</f>
        <v>24957323869.999996</v>
      </c>
      <c r="D6" s="18">
        <f>C6*(1+D5)</f>
        <v>26345013095.066555</v>
      </c>
      <c r="E6" s="18">
        <f>D6*(1+E5)</f>
        <v>27694686594.116913</v>
      </c>
      <c r="F6" s="18">
        <f>E6*(1+F5)</f>
        <v>28992429637.473526</v>
      </c>
      <c r="G6" s="18">
        <f>F6*(1+G5)</f>
        <v>30224234888.04949</v>
      </c>
      <c r="H6" s="18">
        <f>G6*(1+H5)</f>
        <v>31376242200.330753</v>
      </c>
      <c r="I6" s="18">
        <f>H6*(1+I5)</f>
        <v>32434988535.329113</v>
      </c>
      <c r="J6" s="18">
        <f>I6*(1+J5)</f>
        <v>33387661998.534645</v>
      </c>
      <c r="K6" s="18">
        <f>J6*(1+K5)</f>
        <v>34222353548.49801</v>
      </c>
    </row>
    <row r="7" spans="1:11" x14ac:dyDescent="0.25">
      <c r="A7" t="s">
        <v>4</v>
      </c>
      <c r="B7" s="9">
        <f>Assumptions!B7</f>
        <v>0.21473253001295542</v>
      </c>
      <c r="C7" s="9">
        <f>Assumptions!B7</f>
        <v>0.21473253001295542</v>
      </c>
      <c r="D7" s="9">
        <f>Assumptions!B7</f>
        <v>0.21473253001295542</v>
      </c>
      <c r="E7" s="9">
        <f>Assumptions!B7</f>
        <v>0.21473253001295542</v>
      </c>
      <c r="F7" s="9">
        <f>Assumptions!B7</f>
        <v>0.21473253001295542</v>
      </c>
      <c r="G7" s="9">
        <f>Assumptions!B7</f>
        <v>0.21473253001295542</v>
      </c>
      <c r="H7" s="9">
        <f>Assumptions!B7</f>
        <v>0.21473253001295542</v>
      </c>
      <c r="I7" s="9">
        <f>Assumptions!B7</f>
        <v>0.21473253001295542</v>
      </c>
      <c r="J7" s="9">
        <f>Assumptions!B7</f>
        <v>0.21473253001295542</v>
      </c>
      <c r="K7" s="9">
        <f>Assumptions!B7</f>
        <v>0.21473253001295542</v>
      </c>
    </row>
    <row r="8" spans="1:11" x14ac:dyDescent="0.25">
      <c r="A8" t="s">
        <v>51</v>
      </c>
      <c r="B8" s="18">
        <f>B6*B7</f>
        <v>5055923955.988939</v>
      </c>
      <c r="C8" s="18">
        <f>C6*C7</f>
        <v>5359149296.957823</v>
      </c>
      <c r="D8" s="18">
        <f>D6*D7</f>
        <v>5657131315.128082</v>
      </c>
      <c r="E8" s="18">
        <f>E6*E7</f>
        <v>5946950120.270604</v>
      </c>
      <c r="F8" s="18">
        <f>F6*F7</f>
        <v>6225617767.277282</v>
      </c>
      <c r="G8" s="18">
        <f>G6*G7</f>
        <v>6490126425.2167015</v>
      </c>
      <c r="H8" s="18">
        <f>H6*H7</f>
        <v>6737499869.976282</v>
      </c>
      <c r="I8" s="18">
        <f>I6*I7</f>
        <v>6964847149.132423</v>
      </c>
      <c r="J8" s="18">
        <f>J6*J7</f>
        <v>7169417132.162752</v>
      </c>
      <c r="K8" s="18">
        <f>K6*K7</f>
        <v>7348652560.46682</v>
      </c>
    </row>
    <row r="9" spans="1:11" x14ac:dyDescent="0.25">
      <c r="A9" t="s">
        <v>52</v>
      </c>
      <c r="B9" s="18">
        <f>B8*(1-Assumptions!B8)</f>
        <v>4930040833.4994</v>
      </c>
      <c r="C9" s="18">
        <f>C8*(1-Assumptions!B8)</f>
        <v>5225716426.277569</v>
      </c>
      <c r="D9" s="18">
        <f>D8*(1-Assumptions!B8)</f>
        <v>5516279245.262964</v>
      </c>
      <c r="E9" s="18">
        <f>E8*(1-Assumptions!B8)</f>
        <v>5798882100.073735</v>
      </c>
      <c r="F9" s="18">
        <f>F8*(1-Assumptions!B8)</f>
        <v>6070611439.88921</v>
      </c>
      <c r="G9" s="18">
        <f>G8*(1-Assumptions!B8)</f>
        <v>6328534323.185502</v>
      </c>
      <c r="H9" s="18">
        <f>H8*(1-Assumptions!B8)</f>
        <v>6569748628.306434</v>
      </c>
      <c r="I9" s="18">
        <f>I8*(1-Assumptions!B8)</f>
        <v>6791435382.178017</v>
      </c>
      <c r="J9" s="18">
        <f>J8*(1-Assumptions!B8)</f>
        <v>6990911952.32167</v>
      </c>
      <c r="K9" s="18">
        <f>K8*(1-Assumptions!B8)</f>
        <v>7165684751.12971</v>
      </c>
    </row>
    <row r="10" spans="1:11" x14ac:dyDescent="0.25">
      <c r="A10" t="s">
        <v>53</v>
      </c>
      <c r="B10" s="18">
        <f>B6*Assumptions!B9</f>
        <v>3924613525.1890717</v>
      </c>
      <c r="C10" s="18">
        <f>C6*Assumptions!B9</f>
        <v>4159989350.5981736</v>
      </c>
      <c r="D10" s="18">
        <f>D6*Assumptions!B9</f>
        <v>4391295095.889073</v>
      </c>
      <c r="E10" s="18">
        <f>E6*Assumptions!B9</f>
        <v>4616264223.672167</v>
      </c>
      <c r="F10" s="18">
        <f>F6*Assumptions!B9</f>
        <v>4832577369.596669</v>
      </c>
      <c r="G10" s="18">
        <f>G6*Assumptions!B9</f>
        <v>5037899733.128065</v>
      </c>
      <c r="H10" s="18">
        <f>H6*Assumptions!B9</f>
        <v>5229921048.228355</v>
      </c>
      <c r="I10" s="18">
        <f>I6*Assumptions!B9</f>
        <v>5406397240.20791</v>
      </c>
      <c r="J10" s="18">
        <f>J6*Assumptions!B9</f>
        <v>5565192769.815808</v>
      </c>
      <c r="K10" s="18">
        <f>K6*Assumptions!B9</f>
        <v>5704322589.061203</v>
      </c>
    </row>
    <row r="11" spans="1:11" x14ac:dyDescent="0.25">
      <c r="A11" t="s">
        <v>54</v>
      </c>
      <c r="B11" s="18">
        <f>-B6*B19</f>
        <v>-10444497900.216375</v>
      </c>
      <c r="C11" s="18">
        <f>-C6*C19</f>
        <v>-10514965250.783524</v>
      </c>
      <c r="D11" s="18">
        <f>-D6*D19</f>
        <v>-10512778377.737207</v>
      </c>
      <c r="E11" s="18">
        <f>-E6*E19</f>
        <v>-10434445832.820154</v>
      </c>
      <c r="F11" s="18">
        <f>-F6*F19</f>
        <v>-10277575403.744707</v>
      </c>
      <c r="G11" s="18">
        <f>-G6*G19</f>
        <v>-10040983935.868353</v>
      </c>
      <c r="H11" s="18">
        <f>-H6*H19</f>
        <v>-9724781970.039711</v>
      </c>
      <c r="I11" s="18">
        <f>-I6*I19</f>
        <v>-9330429240.786129</v>
      </c>
      <c r="J11" s="18">
        <f>-J6*J19</f>
        <v>-8860757867.007729</v>
      </c>
      <c r="K11" s="18">
        <f>-K6*K19</f>
        <v>-8319961023.621707</v>
      </c>
    </row>
    <row r="12" spans="1:11" x14ac:dyDescent="0.25">
      <c r="A12" t="s">
        <v>55</v>
      </c>
      <c r="B12" s="18">
        <f>-(B6-Assumptions!B29)*Assumptions!B11</f>
        <v>-100519593.47530206</v>
      </c>
      <c r="C12" s="18">
        <f>-(C6-B6)*Assumptions!B11</f>
        <v>-85036553.34914672</v>
      </c>
      <c r="D12" s="18">
        <f>-(D6-C6)*Assumptions!B11</f>
        <v>-83566115.2338252</v>
      </c>
      <c r="E12" s="18">
        <f>-(E6-D6)*Assumptions!B11</f>
        <v>-81276822.72972365</v>
      </c>
      <c r="F12" s="18">
        <f>-(F6-E6)*Assumptions!B11</f>
        <v>-78149590.51788574</v>
      </c>
      <c r="G12" s="18">
        <f>-(G6-F6)*Assumptions!B11</f>
        <v>-74178841.81548275</v>
      </c>
      <c r="H12" s="18">
        <f>-(H6-G6)*Assumptions!B11</f>
        <v>-69373440.44282518</v>
      </c>
      <c r="I12" s="18">
        <f>-(I6-H6)*Assumptions!B11</f>
        <v>-63757300.0032622</v>
      </c>
      <c r="J12" s="18">
        <f>-(J6-I6)*Assumptions!B11</f>
        <v>-57369632.16863082</v>
      </c>
      <c r="K12" s="18">
        <f>-(K6-J6)*Assumptions!B11</f>
        <v>-50264806.40547818</v>
      </c>
    </row>
    <row r="13" spans="1:11" x14ac:dyDescent="0.25">
      <c r="A13" s="19" t="s">
        <v>56</v>
      </c>
      <c r="B13" s="20">
        <f>B9+B10+B11+B12</f>
        <v>-1690363135.0032046</v>
      </c>
      <c r="C13" s="20">
        <f>C9+C10+C11+C12</f>
        <v>-1214296027.2569284</v>
      </c>
      <c r="D13" s="20">
        <f>D9+D10+D11+D12</f>
        <v>-688770151.818994</v>
      </c>
      <c r="E13" s="20">
        <f>E9+E10+E11+E12</f>
        <v>-100576331.80397482</v>
      </c>
      <c r="F13" s="20">
        <f>F9+F10+F11+F12</f>
        <v>547463815.2232852</v>
      </c>
      <c r="G13" s="20">
        <f>G9+G10+G11+G12</f>
        <v>1251271278.6297324</v>
      </c>
      <c r="H13" s="20">
        <f>H9+H10+H11+H12</f>
        <v>2005514266.052254</v>
      </c>
      <c r="I13" s="20">
        <f>I9+I10+I11+I12</f>
        <v>2803646081.5965343</v>
      </c>
      <c r="J13" s="20">
        <f>J9+J10+J11+J12</f>
        <v>3637977222.9611187</v>
      </c>
      <c r="K13" s="20">
        <f>K9+K10+K11+K12</f>
        <v>4499781510.163729</v>
      </c>
    </row>
    <row r="14" spans="1:11" x14ac:dyDescent="0.25">
      <c r="A14" t="s">
        <v>57</v>
      </c>
      <c r="B14" s="21">
        <f>1/(1+Assumptions!$B$26)^(1-0.5*Assumptions!$B$32)</f>
        <v>0.9674198602618177</v>
      </c>
      <c r="C14" s="21">
        <f>1/(1+Assumptions!$B$26)^(2-0.5*Assumptions!$B$32)</f>
        <v>0.9054093946070398</v>
      </c>
      <c r="D14" s="21">
        <f>1/(1+Assumptions!$B$26)^(3-0.5*Assumptions!$B$32)</f>
        <v>0.847373726254523</v>
      </c>
      <c r="E14" s="21">
        <f>1/(1+Assumptions!$B$26)^(4-0.5*Assumptions!$B$32)</f>
        <v>0.793058075411417</v>
      </c>
      <c r="F14" s="21">
        <f>1/(1+Assumptions!$B$26)^(5-0.5*Assumptions!$B$32)</f>
        <v>0.7422239933674173</v>
      </c>
      <c r="G14" s="21">
        <f>1/(1+Assumptions!$B$26)^(6-0.5*Assumptions!$B$32)</f>
        <v>0.6946483156917428</v>
      </c>
      <c r="H14" s="21">
        <f>1/(1+Assumptions!$B$26)^(7-0.5*Assumptions!$B$32)</f>
        <v>0.6501221825289457</v>
      </c>
      <c r="I14" s="21">
        <f>1/(1+Assumptions!$B$26)^(8-0.5*Assumptions!$B$32)</f>
        <v>0.6084501216925992</v>
      </c>
      <c r="J14" s="21">
        <f>1/(1+Assumptions!$B$26)^(9-0.5*Assumptions!$B$32)</f>
        <v>0.5694491905315898</v>
      </c>
      <c r="K14" s="21">
        <f>1/(1+Assumptions!$B$26)^(10-0.5*Assumptions!$B$32)</f>
        <v>0.5329481728017661</v>
      </c>
    </row>
    <row r="15" spans="1:11" x14ac:dyDescent="0.25">
      <c r="A15" s="19" t="s">
        <v>58</v>
      </c>
      <c r="B15" s="20">
        <f>B13*B14</f>
        <v>-1635290867.8565283</v>
      </c>
      <c r="C15" s="20">
        <f>C13*C14</f>
        <v>-1099435030.912429</v>
      </c>
      <c r="D15" s="20">
        <f>D13*D14</f>
        <v>-583645730.0797545</v>
      </c>
      <c r="E15" s="20">
        <f>E13*E14</f>
        <v>-79762872.13240036</v>
      </c>
      <c r="F15" s="20">
        <f>F13*F14</f>
        <v>406340779.15918857</v>
      </c>
      <c r="G15" s="20">
        <f>G13*G14</f>
        <v>869193486.173597</v>
      </c>
      <c r="H15" s="20">
        <f>H13*H14</f>
        <v>1303829311.738828</v>
      </c>
      <c r="I15" s="20">
        <f>I13*I14</f>
        <v>1705878799.53039</v>
      </c>
      <c r="J15" s="20">
        <f>J13*J14</f>
        <v>2071643184.78757</v>
      </c>
      <c r="K15" s="20">
        <f>K13*K14</f>
        <v>2398150333.848931</v>
      </c>
    </row>
    <row r="17" spans="1:2" x14ac:dyDescent="0.25">
      <c r="A17" s="22" t="s">
        <v>59</v>
      </c>
      <c r="B17" s="23">
        <f>SUM(B15:K15)</f>
        <v>5356901394.257393</v>
      </c>
    </row>
    <row r="19" spans="1:11" x14ac:dyDescent="0.25">
      <c r="A19" t="s">
        <v>7</v>
      </c>
      <c r="B19" s="9">
        <f>Assumptions!$B$10+($B$20-Assumptions!$B$10)*0/9</f>
        <v>0.4435931945083569</v>
      </c>
      <c r="C19" s="9">
        <f>Assumptions!$B$10+($B$20-Assumptions!$B$10)*1/9</f>
        <v>0.4213178185912417</v>
      </c>
      <c r="D19" s="9">
        <f>Assumptions!$B$10+($B$20-Assumptions!$B$10)*2/9</f>
        <v>0.3990424426741265</v>
      </c>
      <c r="E19" s="9">
        <f>Assumptions!$B$10+($B$20-Assumptions!$B$10)*3/9</f>
        <v>0.3767670667570113</v>
      </c>
      <c r="F19" s="9">
        <f>Assumptions!$B$10+($B$20-Assumptions!$B$10)*4/9</f>
        <v>0.3544916908398961</v>
      </c>
      <c r="G19" s="9">
        <f>Assumptions!$B$10+($B$20-Assumptions!$B$10)*5/9</f>
        <v>0.3322163149227809</v>
      </c>
      <c r="H19" s="9">
        <f>Assumptions!$B$10+($B$20-Assumptions!$B$10)*6/9</f>
        <v>0.30994093900566577</v>
      </c>
      <c r="I19" s="9">
        <f>Assumptions!$B$10+($B$20-Assumptions!$B$10)*7/9</f>
        <v>0.2876655630885505</v>
      </c>
      <c r="J19" s="9">
        <f>Assumptions!$B$10+($B$20-Assumptions!$B$10)*8/9</f>
        <v>0.26539018717143537</v>
      </c>
      <c r="K19" s="9">
        <f>Assumptions!$B$10+($B$20-Assumptions!$B$10)*9/9</f>
        <v>0.24311481125432016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0.24311481125432016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4499781510.163729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7165684751.12971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0.3650228171352548</v>
      </c>
    </row>
    <row r="7" spans="1:2" x14ac:dyDescent="0.25">
      <c r="A7" t="s">
        <v>66</v>
      </c>
      <c r="B7" s="18">
        <f>-MAX(B5,0)*B6</f>
        <v>-2615638434.560504</v>
      </c>
    </row>
    <row r="8" spans="1:2" x14ac:dyDescent="0.25">
      <c r="A8" t="s">
        <v>67</v>
      </c>
      <c r="B8" s="18">
        <f>IF(OR(Assumptions!$B$33=0,Assumptions!B12&lt;=0),B5,MAX(B5+B7,0))</f>
        <v>4550046316.569206</v>
      </c>
    </row>
    <row r="9" spans="1:2" x14ac:dyDescent="0.25">
      <c r="A9" t="s">
        <v>68</v>
      </c>
      <c r="B9" s="18">
        <f>B8*(1+Assumptions!B12)/(Assumptions!B26-Assumptions!B12)</f>
        <v>107241175816.98064</v>
      </c>
    </row>
    <row r="10" spans="1:2" x14ac:dyDescent="0.25">
      <c r="A10" t="s">
        <v>69</v>
      </c>
      <c r="B10" s="18">
        <f>B9/(1+Assumptions!B26)^(10-0.5*Assumptions!B32)</f>
        <v>57153988700.77277</v>
      </c>
    </row>
    <row r="11" spans="1:2" x14ac:dyDescent="0.25">
      <c r="A11" t="s">
        <v>70</v>
      </c>
      <c r="B11" s="18">
        <f>Forecast!B17+B10</f>
        <v>62510890095.03017</v>
      </c>
    </row>
    <row r="12" spans="1:2" x14ac:dyDescent="0.25">
      <c r="A12" t="s">
        <v>71</v>
      </c>
      <c r="B12" s="18">
        <f>-Assumptions!B30</f>
        <v>-49091000000</v>
      </c>
    </row>
    <row r="13" spans="1:2" x14ac:dyDescent="0.25">
      <c r="A13" t="s">
        <v>72</v>
      </c>
      <c r="B13" s="18">
        <f>B11+B12</f>
        <v>13419890095.030167</v>
      </c>
    </row>
    <row r="14" spans="1:2" x14ac:dyDescent="0.25">
      <c r="A14" s="19" t="s">
        <v>73</v>
      </c>
      <c r="B14" s="24">
        <f>B13/Assumptions!B31</f>
        <v>24.96873016776578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13052975149.528023</v>
      </c>
    </row>
    <row r="18" spans="1:2" x14ac:dyDescent="0.25">
      <c r="A18" t="s">
        <v>68</v>
      </c>
      <c r="B18" s="18">
        <f>B17*Assumptions!B13</f>
        <v>176597774079.3241</v>
      </c>
    </row>
    <row r="19" spans="1:2" x14ac:dyDescent="0.25">
      <c r="A19" t="s">
        <v>69</v>
      </c>
      <c r="B19" s="18">
        <f>B18/(1+Assumptions!B26)^(10-0.5*Assumptions!B32)</f>
        <v>94117461016.43488</v>
      </c>
    </row>
    <row r="20" spans="1:2" x14ac:dyDescent="0.25">
      <c r="A20" t="s">
        <v>70</v>
      </c>
      <c r="B20" s="18">
        <f>Forecast!B17+B19</f>
        <v>99474362410.69226</v>
      </c>
    </row>
    <row r="21" spans="1:2" x14ac:dyDescent="0.25">
      <c r="A21" t="s">
        <v>71</v>
      </c>
      <c r="B21" s="18">
        <f>-Assumptions!B30</f>
        <v>-49091000000</v>
      </c>
    </row>
    <row r="22" spans="1:2" x14ac:dyDescent="0.25">
      <c r="A22" t="s">
        <v>72</v>
      </c>
      <c r="B22" s="18">
        <f>B20+B21</f>
        <v>50383362410.69226</v>
      </c>
    </row>
    <row r="23" spans="1:2" x14ac:dyDescent="0.25">
      <c r="A23" s="19" t="s">
        <v>73</v>
      </c>
      <c r="B23" s="25">
        <f>B22/Assumptions!B31</f>
        <v>93.74209267505186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130.33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24.96873016776578</v>
      </c>
    </row>
    <row r="29" spans="1:2" x14ac:dyDescent="0.25">
      <c r="A29" s="19" t="s">
        <v>81</v>
      </c>
      <c r="B29" s="11">
        <f>B28/B26-1</f>
        <v>-0.8084191654433686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0.048489</v>
      </c>
      <c r="B5" s="31">
        <v>117.12548730151069</v>
      </c>
      <c r="C5" s="31">
        <v>121.85685181833465</v>
      </c>
      <c r="D5" s="31">
        <v>129.9111646359563</v>
      </c>
      <c r="E5" s="31">
        <v>143.98431111929335</v>
      </c>
      <c r="F5" s="31">
        <v>170.76933782374178</v>
      </c>
    </row>
    <row r="6" spans="1:6" x14ac:dyDescent="0.25">
      <c r="A6" s="30">
        <v>0.058489</v>
      </c>
      <c r="B6" s="31">
        <v>59.13285576755764</v>
      </c>
      <c r="C6" s="31">
        <v>56.24592844904664</v>
      </c>
      <c r="D6" s="31">
        <v>53.35900113053555</v>
      </c>
      <c r="E6" s="31">
        <v>50.47207381202455</v>
      </c>
      <c r="F6" s="31">
        <v>47.58514649351349</v>
      </c>
    </row>
    <row r="7" spans="1:6" x14ac:dyDescent="0.25">
      <c r="A7" s="30">
        <v>0.068489</v>
      </c>
      <c r="B7" s="31">
        <v>29.625295644183986</v>
      </c>
      <c r="C7" s="31">
        <v>27.29685590025927</v>
      </c>
      <c r="D7" s="32">
        <v>24.96841615633447</v>
      </c>
      <c r="E7" s="31">
        <v>22.639976412409737</v>
      </c>
      <c r="F7" s="31">
        <v>20.31153666848495</v>
      </c>
    </row>
    <row r="8" spans="1:6" x14ac:dyDescent="0.25">
      <c r="A8" s="30">
        <v>0.078489</v>
      </c>
      <c r="B8" s="31">
        <v>8.03948161786865</v>
      </c>
      <c r="C8" s="31">
        <v>6.118892765302866</v>
      </c>
      <c r="D8" s="31">
        <v>4.198303912737038</v>
      </c>
      <c r="E8" s="31">
        <v>2.277715060171253</v>
      </c>
      <c r="F8" s="31">
        <v>0.3571262076054391</v>
      </c>
    </row>
    <row r="9" spans="1:6" x14ac:dyDescent="0.25">
      <c r="A9" s="30">
        <v>0.088489</v>
      </c>
      <c r="B9" s="31">
        <v>-8.337660771898095</v>
      </c>
      <c r="C9" s="31">
        <v>-9.949366787949867</v>
      </c>
      <c r="D9" s="31">
        <v>-11.56107280400164</v>
      </c>
      <c r="E9" s="31">
        <v>-13.172778820053397</v>
      </c>
      <c r="F9" s="31">
        <v>-14.784484836105184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21876000000</v>
      </c>
      <c r="C5" s="18">
        <v>19721000000</v>
      </c>
      <c r="D5" s="18">
        <v>18982000000</v>
      </c>
      <c r="E5" s="18">
        <v>19639500000</v>
      </c>
      <c r="F5" s="6" t="s">
        <v>91</v>
      </c>
    </row>
    <row r="6" spans="1:6" x14ac:dyDescent="0.25">
      <c r="A6" t="s">
        <v>51</v>
      </c>
      <c r="B6" s="18">
        <v>5385000000</v>
      </c>
      <c r="C6" s="18">
        <v>4447000000</v>
      </c>
      <c r="D6" s="18">
        <v>3735000000</v>
      </c>
      <c r="E6" s="18">
        <v>3741500000</v>
      </c>
      <c r="F6" s="6" t="s">
        <v>92</v>
      </c>
    </row>
    <row r="7" spans="1:6" x14ac:dyDescent="0.25">
      <c r="A7" t="s">
        <v>93</v>
      </c>
      <c r="B7" s="18">
        <v>3489000000</v>
      </c>
      <c r="C7" s="18">
        <v>3393000000</v>
      </c>
      <c r="D7" s="18">
        <v>3187000000</v>
      </c>
      <c r="E7" s="18">
        <v>3285700000</v>
      </c>
      <c r="F7" s="6" t="s">
        <v>94</v>
      </c>
    </row>
    <row r="8" spans="1:6" x14ac:dyDescent="0.25">
      <c r="A8" t="s">
        <v>95</v>
      </c>
      <c r="B8" s="18">
        <v>12036000000</v>
      </c>
      <c r="C8" s="18">
        <v>8170000000</v>
      </c>
      <c r="D8" s="18">
        <v>7661000000</v>
      </c>
      <c r="E8" s="18">
        <v>7979700000</v>
      </c>
      <c r="F8" s="6" t="s">
        <v>96</v>
      </c>
    </row>
    <row r="9" spans="1:6" x14ac:dyDescent="0.25">
      <c r="A9" t="s">
        <v>97</v>
      </c>
      <c r="B9" s="18">
        <v>-341000000</v>
      </c>
      <c r="C9" s="18">
        <v>-510000000</v>
      </c>
      <c r="D9" s="18">
        <v>705000000</v>
      </c>
      <c r="E9" s="18">
        <v>237700000</v>
      </c>
      <c r="F9" s="6" t="s">
        <v>98</v>
      </c>
    </row>
    <row r="10" spans="1:6" x14ac:dyDescent="0.25">
      <c r="A10" t="s">
        <v>99</v>
      </c>
      <c r="B10" s="18">
        <v>49508000000</v>
      </c>
      <c r="C10" s="18">
        <v>45763000000</v>
      </c>
      <c r="D10" s="18">
        <v>43608500000</v>
      </c>
      <c r="E10" s="18">
        <v>41579300000</v>
      </c>
      <c r="F10" s="6" t="s">
        <v>100</v>
      </c>
    </row>
    <row r="11" spans="1:6" x14ac:dyDescent="0.25">
      <c r="A11" t="s">
        <v>101</v>
      </c>
      <c r="B11" s="18">
        <v>417000000</v>
      </c>
      <c r="C11" s="18">
        <v>418000000</v>
      </c>
      <c r="D11" s="18">
        <v>544400000</v>
      </c>
      <c r="E11" s="18">
        <v>697000000</v>
      </c>
      <c r="F11" s="6" t="s">
        <v>102</v>
      </c>
    </row>
    <row r="12" spans="1:6" x14ac:dyDescent="0.25">
      <c r="A12" t="s">
        <v>34</v>
      </c>
      <c r="B12" s="34">
        <v>537467865</v>
      </c>
      <c r="C12" s="34">
        <v>531337703</v>
      </c>
      <c r="D12" s="34">
        <v>520206258</v>
      </c>
      <c r="E12" s="34">
        <v>513484609</v>
      </c>
      <c r="F12" s="6" t="s">
        <v>103</v>
      </c>
    </row>
    <row r="15" spans="1:1" x14ac:dyDescent="0.25">
      <c r="A15" s="19" t="s">
        <v>104</v>
      </c>
    </row>
    <row r="16" ht="22" customHeight="1" spans="1:6" x14ac:dyDescent="0.25">
      <c r="A16" s="35" t="s">
        <v>105</v>
      </c>
      <c r="B16" s="35"/>
      <c r="C16" s="35"/>
      <c r="D16" s="35"/>
      <c r="E16" s="35"/>
      <c r="F16" s="35"/>
    </row>
    <row r="17" ht="54" customHeight="1" spans="1:6" x14ac:dyDescent="0.25">
      <c r="A17" s="35" t="s">
        <v>106</v>
      </c>
      <c r="B17" s="35"/>
      <c r="C17" s="35"/>
      <c r="D17" s="35"/>
      <c r="E17" s="35"/>
      <c r="F17" s="35"/>
    </row>
    <row r="19" spans="1:1" x14ac:dyDescent="0.25">
      <c r="A19" s="36" t="s">
        <v>107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