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<sst xmlns="http://schemas.openxmlformats.org/spreadsheetml/2006/main" count="121" uniqueCount="108">
  <si>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The AES Corporation (AES)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</si>
  <si>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</si>
  <si>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</si>
  <si>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</si>
  <si>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</si>
  <si>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</si>
  <si>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</si>
  <si>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</si>
  <si>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</si>
  <si>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</si>
  <si>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</si>
  <si>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</si>
  <si>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</si>
  <si>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</si>
  <si>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</si>
  <si>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</si>
  <si>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</si>
  <si>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</si>
  <si>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</si>
  <si>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</si>
  <si>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</si>
  <si>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</si>
  <si>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</si>
  <si>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</si>
  <si>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B- rating at 1.4x interest cover, capped at 200bp because one year's cover is too noisy to charge more.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</si>
  <si>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</si>
  <si>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</si>
  <si>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</si>
  <si>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</si>
  <si>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</si>
  <si>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</si>
  <si>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</si>
  <si>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</si>
  <si>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</si>
  <si>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</si>
  <si>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</si>
  <si>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</si>
  <si>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</si>
  <si>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</si>
  <si>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</si>
  <si>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</si>
  <si>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</si>
  <si>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</si>
  <si>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</si>
  <si>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</si>
  <si>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</si>
  <si>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</si>
  <si>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</si>
  <si>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</si>
  <si>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</si>
  <si>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</si>
  <si>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</si>
  <si>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</si>
  <si>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</si>
  <si>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</si>
  <si>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</si>
  <si>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</si>
  <si>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</si>
  <si>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</si>
  <si>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</si>
  <si>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</si>
  <si>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</si>
  <si>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</si>
  <si>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</si>
  <si>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</si>
  <si>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</si>
  <si>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</si>
  <si>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</si>
  <si>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</si>
  <si>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</si>
  <si>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</si>
  <si>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</si>
  <si>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</si>
  <si>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</si>
  <si>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</si>
  <si>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</si>
  <si>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</si>
  <si>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</si>
  <si>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</si>
  <si>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</si>
  <si>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</si>
  <si>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</si>
  <si>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</si>
  <si>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</si>
  <si>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</si>
  <si>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</si>
  <si>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</si>
  <si>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</si>
  <si>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</si>
  <si>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</si>
  <si>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</si>
  <si>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</si>
  <si>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</si>
  <si>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</si>
  <si>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</si>
  <si>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</si>
  <si>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</si>
  <si>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</si>
  <si>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</si>
  <si>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</si>
  <si>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</si>
  <si>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</si>
  <si>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</si>
  <si>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</si>
  <si>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</si>
  <si>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</si>
  <si>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51.4% of revenue against depreciation of 9.9%.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</si>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</sst>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0.07933561105207221</v>
      </c>
    </row>
    <row r="7" spans="1:2" x14ac:dyDescent="0.25">
      <c r="A7" t="s">
        <v>4</v>
      </c>
      <c r="B7" s="5">
        <v>0.17228191419091843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0.09939006413970498</v>
      </c>
    </row>
    <row r="10" spans="1:3" x14ac:dyDescent="0.25">
      <c r="A10" t="s">
        <v>7</v>
      </c>
      <c r="B10" s="5">
        <v>0.5142885407033985</v>
      </c>
      <c r="C10" s="6" t="s">
        <v>8</v>
      </c>
    </row>
    <row r="11" spans="1:2" x14ac:dyDescent="0.25">
      <c r="A11" t="s">
        <v>9</v>
      </c>
      <c r="B11" s="5">
        <v>-0.02582290482483998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11.371822632039684</v>
      </c>
    </row>
    <row r="14" spans="1:3" x14ac:dyDescent="0.25">
      <c r="A14" t="s">
        <v>12</v>
      </c>
      <c r="B14" s="5">
        <v>0.06351455518543694</v>
      </c>
      <c r="C14" s="6" t="s">
        <v>13</v>
      </c>
    </row>
    <row r="15" spans="1:3" x14ac:dyDescent="0.25">
      <c r="A15" t="s">
        <v>14</v>
      </c>
      <c r="B15" s="5">
        <v>0.09939006413970498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0.9464</v>
      </c>
      <c r="C19" s="6" t="s">
        <v>21</v>
      </c>
    </row>
    <row r="20" spans="1:2" x14ac:dyDescent="0.25">
      <c r="A20" t="s">
        <v>22</v>
      </c>
      <c r="B20" s="9">
        <f>B17+B19*B18</f>
        <v>0.08897272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10630236160</v>
      </c>
    </row>
    <row r="23" spans="1:2" x14ac:dyDescent="0.25">
      <c r="A23" t="s">
        <v>26</v>
      </c>
      <c r="B23" s="10">
        <v>29897000000</v>
      </c>
    </row>
    <row r="24" spans="1:2" x14ac:dyDescent="0.25">
      <c r="A24" t="s">
        <v>27</v>
      </c>
      <c r="B24" s="9">
        <f>B22/(B22+B23)</f>
        <v>0.262298571706993</v>
      </c>
    </row>
    <row r="25" spans="1:2" x14ac:dyDescent="0.25">
      <c r="A25" t="s">
        <v>28</v>
      </c>
      <c r="B25" s="9">
        <f>1-B24</f>
        <v>0.737701428293007</v>
      </c>
    </row>
    <row r="26" spans="1:2" x14ac:dyDescent="0.25">
      <c r="A26" t="s">
        <v>29</v>
      </c>
      <c r="B26" s="11">
        <f>B24*B20+B25*B21*(1-B8)</f>
        <v>0.06351455518543694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12233000000</v>
      </c>
      <c r="C29" s="6" t="s">
        <v>32</v>
      </c>
    </row>
    <row r="30" spans="1:2" x14ac:dyDescent="0.25">
      <c r="A30" t="s">
        <v>33</v>
      </c>
      <c r="B30" s="10">
        <v>28341000000</v>
      </c>
    </row>
    <row r="31" spans="1:2" x14ac:dyDescent="0.25">
      <c r="A31" t="s">
        <v>34</v>
      </c>
      <c r="B31" s="12">
        <v>714000000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0.07933561105207221</v>
      </c>
      <c r="C5" s="5">
        <v>0.01775745351604563</v>
      </c>
      <c r="D5" s="5">
        <v>0.018662771826539925</v>
      </c>
      <c r="E5" s="5">
        <v>0.01956809013703422</v>
      </c>
      <c r="F5" s="5">
        <v>0.02047340844752852</v>
      </c>
      <c r="G5" s="5">
        <v>0.021378726758022815</v>
      </c>
      <c r="H5" s="5">
        <v>0.02228404506851711</v>
      </c>
      <c r="I5" s="5">
        <v>0.02318936337901141</v>
      </c>
      <c r="J5" s="5">
        <v>0.024094681689505706</v>
      </c>
      <c r="K5" s="5">
        <v>0.025</v>
      </c>
    </row>
    <row r="6" spans="1:11" x14ac:dyDescent="0.25">
      <c r="A6" t="s">
        <v>50</v>
      </c>
      <c r="B6" s="18">
        <f>Assumptions!B29*(1+B5)</f>
        <v>13203512530</v>
      </c>
      <c r="C6" s="18">
        <f>B6*(1+C5)</f>
        <v>13437973290.000002</v>
      </c>
      <c r="D6" s="18">
        <f>C6*(1+D5)</f>
        <v>13688763119.32241</v>
      </c>
      <c r="E6" s="18">
        <f>D6*(1+E5)</f>
        <v>13956626069.905823</v>
      </c>
      <c r="F6" s="18">
        <f>E6*(1+F5)</f>
        <v>14242365775.984428</v>
      </c>
      <c r="G6" s="18">
        <f>F6*(1+G5)</f>
        <v>14546849422.297014</v>
      </c>
      <c r="H6" s="18">
        <f>G6*(1+H5)</f>
        <v>14871012070.428413</v>
      </c>
      <c r="I6" s="18">
        <f>H6*(1+I5)</f>
        <v>15215861373.143244</v>
      </c>
      <c r="J6" s="18">
        <f>I6*(1+J5)</f>
        <v>15582482709.560778</v>
      </c>
      <c r="K6" s="18">
        <f>J6*(1+K5)</f>
        <v>15972044777.299795</v>
      </c>
    </row>
    <row r="7" spans="1:11" x14ac:dyDescent="0.25">
      <c r="A7" t="s">
        <v>4</v>
      </c>
      <c r="B7" s="9">
        <f>Assumptions!B7</f>
        <v>0.17228191419091843</v>
      </c>
      <c r="C7" s="9">
        <f>Assumptions!B7</f>
        <v>0.17228191419091843</v>
      </c>
      <c r="D7" s="9">
        <f>Assumptions!B7</f>
        <v>0.17228191419091843</v>
      </c>
      <c r="E7" s="9">
        <f>Assumptions!B7</f>
        <v>0.17228191419091843</v>
      </c>
      <c r="F7" s="9">
        <f>Assumptions!B7</f>
        <v>0.17228191419091843</v>
      </c>
      <c r="G7" s="9">
        <f>Assumptions!B7</f>
        <v>0.17228191419091843</v>
      </c>
      <c r="H7" s="9">
        <f>Assumptions!B7</f>
        <v>0.17228191419091843</v>
      </c>
      <c r="I7" s="9">
        <f>Assumptions!B7</f>
        <v>0.17228191419091843</v>
      </c>
      <c r="J7" s="9">
        <f>Assumptions!B7</f>
        <v>0.17228191419091843</v>
      </c>
      <c r="K7" s="9">
        <f>Assumptions!B7</f>
        <v>0.17228191419091843</v>
      </c>
    </row>
    <row r="8" spans="1:11" x14ac:dyDescent="0.25">
      <c r="A8" t="s">
        <v>51</v>
      </c>
      <c r="B8" s="18">
        <f>B6*B7</f>
        <v>2274726412.7121763</v>
      </c>
      <c r="C8" s="18">
        <f>C6*C7</f>
        <v>2315119761.247634</v>
      </c>
      <c r="D8" s="18">
        <f>D6*D7</f>
        <v>2358326313.1029124</v>
      </c>
      <c r="E8" s="18">
        <f>E6*E7</f>
        <v>2404474254.97025</v>
      </c>
      <c r="F8" s="18">
        <f>F6*F7</f>
        <v>2453702038.4938226</v>
      </c>
      <c r="G8" s="18">
        <f>G6*G7</f>
        <v>2506159063.9203854</v>
      </c>
      <c r="H8" s="18">
        <f>H6*H7</f>
        <v>2562006425.4496603</v>
      </c>
      <c r="I8" s="18">
        <f>I6*I7</f>
        <v>2621417723.4287744</v>
      </c>
      <c r="J8" s="18">
        <f>J6*J7</f>
        <v>2684579949.05002</v>
      </c>
      <c r="K8" s="18">
        <f>K6*K7</f>
        <v>2751694447.77627</v>
      </c>
    </row>
    <row r="9" spans="1:11" x14ac:dyDescent="0.25">
      <c r="A9" t="s">
        <v>52</v>
      </c>
      <c r="B9" s="18">
        <f>B8*(1-Assumptions!B8)</f>
        <v>1797033866.0426195</v>
      </c>
      <c r="C9" s="18">
        <f>C8*(1-Assumptions!B8)</f>
        <v>1828944611.3856308</v>
      </c>
      <c r="D9" s="18">
        <f>D8*(1-Assumptions!B8)</f>
        <v>1863077787.351301</v>
      </c>
      <c r="E9" s="18">
        <f>E8*(1-Assumptions!B8)</f>
        <v>1899534661.4264977</v>
      </c>
      <c r="F9" s="18">
        <f>F8*(1-Assumptions!B8)</f>
        <v>1938424610.41012</v>
      </c>
      <c r="G9" s="18">
        <f>G8*(1-Assumptions!B8)</f>
        <v>1979865660.4971044</v>
      </c>
      <c r="H9" s="18">
        <f>H8*(1-Assumptions!B8)</f>
        <v>2023985076.1052318</v>
      </c>
      <c r="I9" s="18">
        <f>I8*(1-Assumptions!B8)</f>
        <v>2070920001.5087318</v>
      </c>
      <c r="J9" s="18">
        <f>J8*(1-Assumptions!B8)</f>
        <v>2120818159.749516</v>
      </c>
      <c r="K9" s="18">
        <f>K8*(1-Assumptions!B8)</f>
        <v>2173838613.743253</v>
      </c>
    </row>
    <row r="10" spans="1:11" x14ac:dyDescent="0.25">
      <c r="A10" t="s">
        <v>53</v>
      </c>
      <c r="B10" s="18">
        <f>B6*Assumptions!B9</f>
        <v>1312297957.2260985</v>
      </c>
      <c r="C10" s="18">
        <f>C6*Assumptions!B9</f>
        <v>1335601027.2007425</v>
      </c>
      <c r="D10" s="18">
        <f>D6*Assumptions!B9</f>
        <v>1360527044.4226825</v>
      </c>
      <c r="E10" s="18">
        <f>E6*Assumptions!B9</f>
        <v>1387149960.2618184</v>
      </c>
      <c r="F10" s="18">
        <f>F6*Assumptions!B9</f>
        <v>1415549647.9762316</v>
      </c>
      <c r="G10" s="18">
        <f>G6*Assumptions!B9</f>
        <v>1445812297.1127307</v>
      </c>
      <c r="H10" s="18">
        <f>H6*Assumptions!B9</f>
        <v>1478030843.502207</v>
      </c>
      <c r="I10" s="18">
        <f>I6*Assumptions!B9</f>
        <v>1512305437.8175666</v>
      </c>
      <c r="J10" s="18">
        <f>J6*Assumptions!B9</f>
        <v>1548743955.9590895</v>
      </c>
      <c r="K10" s="18">
        <f>K6*Assumptions!B9</f>
        <v>1587462554.8580666</v>
      </c>
    </row>
    <row r="11" spans="1:11" x14ac:dyDescent="0.25">
      <c r="A11" t="s">
        <v>54</v>
      </c>
      <c r="B11" s="18">
        <f>-B6*B19</f>
        <v>-6790415191.212737</v>
      </c>
      <c r="C11" s="18">
        <f>-C6*C19</f>
        <v>-6371495370.779925</v>
      </c>
      <c r="D11" s="18">
        <f>-D6*D19</f>
        <v>-5940836261.48647</v>
      </c>
      <c r="E11" s="18">
        <f>-E6*E19</f>
        <v>-5496764194.093464</v>
      </c>
      <c r="F11" s="18">
        <f>-F6*F19</f>
        <v>-5037507086.406833</v>
      </c>
      <c r="G11" s="18">
        <f>-G6*G19</f>
        <v>-4561183727.129607</v>
      </c>
      <c r="H11" s="18">
        <f>-H6*H19</f>
        <v>-4065792201.7482505</v>
      </c>
      <c r="I11" s="18">
        <f>-I6*I19</f>
        <v>-3549197366.771324</v>
      </c>
      <c r="J11" s="18">
        <f>-J6*J19</f>
        <v>-3009117269.62562</v>
      </c>
      <c r="K11" s="18">
        <f>-K6*K19</f>
        <v>-2443108401.4661865</v>
      </c>
    </row>
    <row r="12" spans="1:11" x14ac:dyDescent="0.25">
      <c r="A12" t="s">
        <v>55</v>
      </c>
      <c r="B12" s="18">
        <f>-(B6-Assumptions!B29)*Assumptions!B11</f>
        <v>25061452.693504658</v>
      </c>
      <c r="C12" s="18">
        <f>-(C6-B6)*Assumptions!B11</f>
        <v>6054457.890639698</v>
      </c>
      <c r="D12" s="18">
        <f>-(D6-C6)*Assumptions!B11</f>
        <v>6476121.893630423</v>
      </c>
      <c r="E12" s="18">
        <f>-(E6-D6)*Assumptions!B11</f>
        <v>6916999.479016268</v>
      </c>
      <c r="F12" s="18">
        <f>-(F6-E6)*Assumptions!B11</f>
        <v>7378629.234745584</v>
      </c>
      <c r="G12" s="18">
        <f>-(G6-F6)*Assumptions!B11</f>
        <v>7862652.219450143</v>
      </c>
      <c r="H12" s="18">
        <f>-(H6-G6)*Assumptions!B11</f>
        <v>8370821.210465212</v>
      </c>
      <c r="I12" s="18">
        <f>-(I6-H6)*Assumptions!B11</f>
        <v>8905010.722917497</v>
      </c>
      <c r="J12" s="18">
        <f>-(J6-I6)*Assumptions!B11</f>
        <v>9467227.877065618</v>
      </c>
      <c r="K12" s="18">
        <f>-(K6-J6)*Assumptions!B11</f>
        <v>10059624.198592514</v>
      </c>
    </row>
    <row r="13" spans="1:11" x14ac:dyDescent="0.25">
      <c r="A13" s="19" t="s">
        <v>56</v>
      </c>
      <c r="B13" s="20">
        <f>B9+B10+B11+B12</f>
        <v>-3656021915.2505145</v>
      </c>
      <c r="C13" s="20">
        <f>C9+C10+C11+C12</f>
        <v>-3200895274.302912</v>
      </c>
      <c r="D13" s="20">
        <f>D9+D10+D11+D12</f>
        <v>-2710755307.8188562</v>
      </c>
      <c r="E13" s="20">
        <f>E9+E10+E11+E12</f>
        <v>-2203162572.9261312</v>
      </c>
      <c r="F13" s="20">
        <f>F9+F10+F11+F12</f>
        <v>-1676154198.7857356</v>
      </c>
      <c r="G13" s="20">
        <f>G9+G10+G11+G12</f>
        <v>-1127643117.3003218</v>
      </c>
      <c r="H13" s="20">
        <f>H9+H10+H11+H12</f>
        <v>-555405460.9303463</v>
      </c>
      <c r="I13" s="20">
        <f>I9+I10+I11+I12</f>
        <v>42933083.27789205</v>
      </c>
      <c r="J13" s="20">
        <f>J9+J10+J11+J12</f>
        <v>669912073.9600515</v>
      </c>
      <c r="K13" s="20">
        <f>K9+K10+K11+K12</f>
        <v>1328252391.3337257</v>
      </c>
    </row>
    <row r="14" spans="1:11" x14ac:dyDescent="0.25">
      <c r="A14" t="s">
        <v>57</v>
      </c>
      <c r="B14" s="21">
        <f>1/(1+Assumptions!$B$26)^(1-0.5*Assumptions!$B$32)</f>
        <v>0.9696796489556629</v>
      </c>
      <c r="C14" s="21">
        <f>1/(1+Assumptions!$B$26)^(2-0.5*Assumptions!$B$32)</f>
        <v>0.9117690437124174</v>
      </c>
      <c r="D14" s="21">
        <f>1/(1+Assumptions!$B$26)^(3-0.5*Assumptions!$B$32)</f>
        <v>0.8573169396383478</v>
      </c>
      <c r="E14" s="21">
        <f>1/(1+Assumptions!$B$26)^(4-0.5*Assumptions!$B$32)</f>
        <v>0.8061167902764281</v>
      </c>
      <c r="F14" s="21">
        <f>1/(1+Assumptions!$B$26)^(5-0.5*Assumptions!$B$32)</f>
        <v>0.7579743844087509</v>
      </c>
      <c r="G14" s="21">
        <f>1/(1+Assumptions!$B$26)^(6-0.5*Assumptions!$B$32)</f>
        <v>0.7127071093790424</v>
      </c>
      <c r="H14" s="21">
        <f>1/(1+Assumptions!$B$26)^(7-0.5*Assumptions!$B$32)</f>
        <v>0.6701432584105752</v>
      </c>
      <c r="I14" s="21">
        <f>1/(1+Assumptions!$B$26)^(8-0.5*Assumptions!$B$32)</f>
        <v>0.6301213792920092</v>
      </c>
      <c r="J14" s="21">
        <f>1/(1+Assumptions!$B$26)^(9-0.5*Assumptions!$B$32)</f>
        <v>0.5924896619606111</v>
      </c>
      <c r="K14" s="21">
        <f>1/(1+Assumptions!$B$26)^(10-0.5*Assumptions!$B$32)</f>
        <v>0.5571053626598492</v>
      </c>
    </row>
    <row r="15" spans="1:11" x14ac:dyDescent="0.25">
      <c r="A15" s="19" t="s">
        <v>58</v>
      </c>
      <c r="B15" s="20">
        <f>B13*B14</f>
        <v>-3545170047.3543296</v>
      </c>
      <c r="C15" s="20">
        <f>C13*C14</f>
        <v>-2918477223.274762</v>
      </c>
      <c r="D15" s="20">
        <f>D13*D14</f>
        <v>-2323976444.6076694</v>
      </c>
      <c r="E15" s="20">
        <f>E13*E14</f>
        <v>-1776006341.74437</v>
      </c>
      <c r="F15" s="20">
        <f>F13*F14</f>
        <v>-1270481946.998761</v>
      </c>
      <c r="G15" s="20">
        <f>G13*G14</f>
        <v>-803679266.5422847</v>
      </c>
      <c r="H15" s="20">
        <f>H13*H14</f>
        <v>-372201225.32688963</v>
      </c>
      <c r="I15" s="20">
        <f>I13*I14</f>
        <v>27053053.652324036</v>
      </c>
      <c r="J15" s="20">
        <f>J13*J14</f>
        <v>396915978.2439229</v>
      </c>
      <c r="K15" s="20">
        <f>K13*K14</f>
        <v>739976530.1777872</v>
      </c>
    </row>
    <row r="17" spans="1:2" x14ac:dyDescent="0.25">
      <c r="A17" s="22" t="s">
        <v>59</v>
      </c>
      <c r="B17" s="23">
        <f>SUM(B15:K15)</f>
        <v>-11846046933.775028</v>
      </c>
    </row>
    <row r="19" spans="1:11" x14ac:dyDescent="0.25">
      <c r="A19" t="s">
        <v>7</v>
      </c>
      <c r="B19" s="9">
        <f>Assumptions!$B$10+($B$20-Assumptions!$B$10)*0/9</f>
        <v>0.5142885407033985</v>
      </c>
      <c r="C19" s="9">
        <f>Assumptions!$B$10+($B$20-Assumptions!$B$10)*1/9</f>
        <v>0.4741410950356134</v>
      </c>
      <c r="D19" s="9">
        <f>Assumptions!$B$10+($B$20-Assumptions!$B$10)*2/9</f>
        <v>0.43399364936782836</v>
      </c>
      <c r="E19" s="9">
        <f>Assumptions!$B$10+($B$20-Assumptions!$B$10)*3/9</f>
        <v>0.3938462037000433</v>
      </c>
      <c r="F19" s="9">
        <f>Assumptions!$B$10+($B$20-Assumptions!$B$10)*4/9</f>
        <v>0.35369875803225825</v>
      </c>
      <c r="G19" s="9">
        <f>Assumptions!$B$10+($B$20-Assumptions!$B$10)*5/9</f>
        <v>0.3135513123644732</v>
      </c>
      <c r="H19" s="9">
        <f>Assumptions!$B$10+($B$20-Assumptions!$B$10)*6/9</f>
        <v>0.27340386669668815</v>
      </c>
      <c r="I19" s="9">
        <f>Assumptions!$B$10+($B$20-Assumptions!$B$10)*7/9</f>
        <v>0.2332564210289031</v>
      </c>
      <c r="J19" s="9">
        <f>Assumptions!$B$10+($B$20-Assumptions!$B$10)*8/9</f>
        <v>0.19310897536111804</v>
      </c>
      <c r="K19" s="9">
        <f>Assumptions!$B$10+($B$20-Assumptions!$B$10)*9/9</f>
        <v>0.152961529693333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0.152961529693333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1328252391.3337257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2173838613.743253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0.39361056575158343</v>
      </c>
    </row>
    <row r="7" spans="1:2" x14ac:dyDescent="0.25">
      <c r="A7" t="s">
        <v>66</v>
      </c>
      <c r="B7" s="18">
        <f>-MAX(B5,0)*B6</f>
        <v>-855645846.6081197</v>
      </c>
    </row>
    <row r="8" spans="1:2" x14ac:dyDescent="0.25">
      <c r="A8" t="s">
        <v>67</v>
      </c>
      <c r="B8" s="18">
        <f>IF(OR(Assumptions!$B$33=0,Assumptions!B12&lt;=0),B5,MAX(B5+B7,0))</f>
        <v>1318192767.1351335</v>
      </c>
    </row>
    <row r="9" spans="1:2" x14ac:dyDescent="0.25">
      <c r="A9" t="s">
        <v>68</v>
      </c>
      <c r="B9" s="18">
        <f>B8*(1+Assumptions!B12)/(Assumptions!B26-Assumptions!B12)</f>
        <v>35081479710.9329</v>
      </c>
    </row>
    <row r="10" spans="1:2" x14ac:dyDescent="0.25">
      <c r="A10" t="s">
        <v>69</v>
      </c>
      <c r="B10" s="18">
        <f>B9/(1+Assumptions!B26)^(10-0.5*Assumptions!B32)</f>
        <v>19544080477.003414</v>
      </c>
    </row>
    <row r="11" spans="1:2" x14ac:dyDescent="0.25">
      <c r="A11" t="s">
        <v>70</v>
      </c>
      <c r="B11" s="18">
        <f>Forecast!B17+B10</f>
        <v>7698033543.228386</v>
      </c>
    </row>
    <row r="12" spans="1:2" x14ac:dyDescent="0.25">
      <c r="A12" t="s">
        <v>71</v>
      </c>
      <c r="B12" s="18">
        <f>-Assumptions!B30</f>
        <v>-28341000000</v>
      </c>
    </row>
    <row r="13" spans="1:2" x14ac:dyDescent="0.25">
      <c r="A13" t="s">
        <v>72</v>
      </c>
      <c r="B13" s="18">
        <f>B11+B12</f>
        <v>-20642966456.771614</v>
      </c>
    </row>
    <row r="14" spans="1:2" x14ac:dyDescent="0.25">
      <c r="A14" s="19" t="s">
        <v>73</v>
      </c>
      <c r="B14" s="24">
        <f>B13/Assumptions!B31</f>
        <v>-28.91171772657089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4339157002.634336</v>
      </c>
    </row>
    <row r="18" spans="1:2" x14ac:dyDescent="0.25">
      <c r="A18" t="s">
        <v>68</v>
      </c>
      <c r="B18" s="18">
        <f>B17*Assumptions!B13</f>
        <v>49344123806.53063</v>
      </c>
    </row>
    <row r="19" spans="1:2" x14ac:dyDescent="0.25">
      <c r="A19" t="s">
        <v>69</v>
      </c>
      <c r="B19" s="18">
        <f>B18/(1+Assumptions!B26)^(10-0.5*Assumptions!B32)</f>
        <v>27489875988.369747</v>
      </c>
    </row>
    <row r="20" spans="1:2" x14ac:dyDescent="0.25">
      <c r="A20" t="s">
        <v>70</v>
      </c>
      <c r="B20" s="18">
        <f>Forecast!B17+B19</f>
        <v>15643829054.594719</v>
      </c>
    </row>
    <row r="21" spans="1:2" x14ac:dyDescent="0.25">
      <c r="A21" t="s">
        <v>71</v>
      </c>
      <c r="B21" s="18">
        <f>-Assumptions!B30</f>
        <v>-28341000000</v>
      </c>
    </row>
    <row r="22" spans="1:2" x14ac:dyDescent="0.25">
      <c r="A22" t="s">
        <v>72</v>
      </c>
      <c r="B22" s="18">
        <f>B20+B21</f>
        <v>-12697170945.405281</v>
      </c>
    </row>
    <row r="23" spans="1:2" x14ac:dyDescent="0.25">
      <c r="A23" s="19" t="s">
        <v>73</v>
      </c>
      <c r="B23" s="25">
        <f>B22/Assumptions!B31</f>
        <v>-17.783152584601233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14.9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-28.91171772657089</v>
      </c>
    </row>
    <row r="29" spans="1:2" x14ac:dyDescent="0.25">
      <c r="A29" s="19" t="s">
        <v>81</v>
      </c>
      <c r="B29" s="11">
        <f>B28/B26-1</f>
        <v>-2.940383740038315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0.043515</v>
      </c>
      <c r="B5" s="31">
        <v>-2.6791437107791847</v>
      </c>
      <c r="C5" s="31">
        <v>-0.01401791793143649</v>
      </c>
      <c r="D5" s="31">
        <v>4.511693524716492</v>
      </c>
      <c r="E5" s="31">
        <v>12.963013535921796</v>
      </c>
      <c r="F5" s="31">
        <v>32.25528310550947</v>
      </c>
    </row>
    <row r="6" spans="1:6" x14ac:dyDescent="0.25">
      <c r="A6" s="30">
        <v>0.053515</v>
      </c>
      <c r="B6" s="31">
        <v>-19.590682512708707</v>
      </c>
      <c r="C6" s="31">
        <v>-20.037261393036424</v>
      </c>
      <c r="D6" s="31">
        <v>-20.382369395097435</v>
      </c>
      <c r="E6" s="31">
        <v>-20.561279188506827</v>
      </c>
      <c r="F6" s="31">
        <v>-20.439344641491807</v>
      </c>
    </row>
    <row r="7" spans="1:6" x14ac:dyDescent="0.25">
      <c r="A7" s="30">
        <v>0.063515</v>
      </c>
      <c r="B7" s="31">
        <v>-27.693957356045086</v>
      </c>
      <c r="C7" s="31">
        <v>-28.30296887568297</v>
      </c>
      <c r="D7" s="32">
        <v>-28.91198039532087</v>
      </c>
      <c r="E7" s="31">
        <v>-29.52099191495876</v>
      </c>
      <c r="F7" s="31">
        <v>-30.130003434596656</v>
      </c>
    </row>
    <row r="8" spans="1:6" x14ac:dyDescent="0.25">
      <c r="A8" s="30">
        <v>0.073515</v>
      </c>
      <c r="B8" s="31">
        <v>-32.914534928293534</v>
      </c>
      <c r="C8" s="31">
        <v>-33.41202513470557</v>
      </c>
      <c r="D8" s="31">
        <v>-33.909515341117626</v>
      </c>
      <c r="E8" s="31">
        <v>-34.40700554752967</v>
      </c>
      <c r="F8" s="31">
        <v>-34.90449575394172</v>
      </c>
    </row>
    <row r="9" spans="1:6" x14ac:dyDescent="0.25">
      <c r="A9" s="30">
        <v>0.083515</v>
      </c>
      <c r="B9" s="31">
        <v>-36.70715116008151</v>
      </c>
      <c r="C9" s="31">
        <v>-37.1215649397929</v>
      </c>
      <c r="D9" s="31">
        <v>-37.53597871950431</v>
      </c>
      <c r="E9" s="31">
        <v>-37.9503924992157</v>
      </c>
      <c r="F9" s="31">
        <v>-38.364806278927105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12233000000</v>
      </c>
      <c r="C5" s="18">
        <v>12278000000</v>
      </c>
      <c r="D5" s="18">
        <v>12668000000</v>
      </c>
      <c r="E5" s="18">
        <v>12617000000</v>
      </c>
      <c r="F5" s="6" t="s">
        <v>91</v>
      </c>
    </row>
    <row r="6" spans="1:6" x14ac:dyDescent="0.25">
      <c r="A6" t="s">
        <v>51</v>
      </c>
      <c r="B6" s="18">
        <v>1970000000</v>
      </c>
      <c r="C6" s="18">
        <v>2026000000</v>
      </c>
      <c r="D6" s="18">
        <v>2249000000</v>
      </c>
      <c r="E6" s="18">
        <v>2341000000</v>
      </c>
      <c r="F6" s="6" t="s">
        <v>92</v>
      </c>
    </row>
    <row r="7" spans="1:6" x14ac:dyDescent="0.25">
      <c r="A7" t="s">
        <v>93</v>
      </c>
      <c r="B7" s="18">
        <v>1457000000</v>
      </c>
      <c r="C7" s="18">
        <v>1264000000</v>
      </c>
      <c r="D7" s="18">
        <v>1147000000</v>
      </c>
      <c r="E7" s="18">
        <v>1072000000</v>
      </c>
      <c r="F7" s="6" t="s">
        <v>94</v>
      </c>
    </row>
    <row r="8" spans="1:6" x14ac:dyDescent="0.25">
      <c r="A8" t="s">
        <v>95</v>
      </c>
      <c r="B8" s="18">
        <v>5929000000</v>
      </c>
      <c r="C8" s="18">
        <v>7392000000</v>
      </c>
      <c r="D8" s="18">
        <v>7724000000</v>
      </c>
      <c r="E8" s="18">
        <v>4551000000</v>
      </c>
      <c r="F8" s="6" t="s">
        <v>96</v>
      </c>
    </row>
    <row r="9" spans="1:6" x14ac:dyDescent="0.25">
      <c r="A9" t="s">
        <v>97</v>
      </c>
      <c r="B9" s="18">
        <v>-199000000</v>
      </c>
      <c r="C9" s="18">
        <v>92000000</v>
      </c>
      <c r="D9" s="18">
        <v>-310000000</v>
      </c>
      <c r="E9" s="18">
        <v>289000000</v>
      </c>
      <c r="F9" s="6" t="s">
        <v>98</v>
      </c>
    </row>
    <row r="10" spans="1:6" x14ac:dyDescent="0.25">
      <c r="A10" t="s">
        <v>99</v>
      </c>
      <c r="B10" s="18">
        <v>29897000000</v>
      </c>
      <c r="C10" s="18">
        <v>29018000000</v>
      </c>
      <c r="D10" s="18">
        <v>26878000000</v>
      </c>
      <c r="E10" s="18">
        <v>23498000000</v>
      </c>
      <c r="F10" s="6" t="s">
        <v>100</v>
      </c>
    </row>
    <row r="11" spans="1:6" x14ac:dyDescent="0.25">
      <c r="A11" t="s">
        <v>101</v>
      </c>
      <c r="B11" s="18">
        <v>1556000000</v>
      </c>
      <c r="C11" s="18">
        <v>1603000000</v>
      </c>
      <c r="D11" s="18">
        <v>1821000000</v>
      </c>
      <c r="E11" s="18">
        <v>2104000000</v>
      </c>
      <c r="F11" s="6" t="s">
        <v>102</v>
      </c>
    </row>
    <row r="12" spans="1:6" x14ac:dyDescent="0.25">
      <c r="A12" t="s">
        <v>34</v>
      </c>
      <c r="B12" s="34">
        <v>714000000</v>
      </c>
      <c r="C12" s="34">
        <v>711440678</v>
      </c>
      <c r="D12" s="34">
        <v>712000000</v>
      </c>
      <c r="E12" s="34">
        <v>665853659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