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<sst xmlns="http://schemas.openxmlformats.org/spreadsheetml/2006/main" count="114" uniqueCount="102">
  <si>
    <t>The AES Corporation (AES)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</si>
  <si>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</si>
  <si>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</si>
  <si>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</si>
  <si>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</si>
  <si>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</si>
  <si>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</si>
  <si>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</si>
  <si>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</si>
  <si>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</si>
  <si>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</si>
  <si>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</si>
  <si>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</si>
  <si>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</si>
  <si>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</si>
  <si>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</si>
  <si>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</si>
  <si>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</si>
  <si>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</si>
  <si>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</si>
  <si>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</si>
  <si>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</si>
  <si>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</si>
  <si>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</si>
  <si>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</si>
  <si>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</si>
  <si>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</si>
  <si>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</si>
  <si>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</si>
  <si>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</si>
  <si>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</si>
  <si>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</si>
  <si>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</si>
  <si>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</si>
  <si>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</si>
  <si>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</si>
  <si>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</si>
  <si>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</si>
  <si>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</si>
  <si>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</si>
  <si>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</si>
  <si>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</si>
  <si>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</si>
  <si>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</si>
  <si>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</si>
  <si>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</si>
  <si>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</si>
  <si>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</si>
  <si>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</si>
  <si>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</si>
  <si>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</si>
  <si>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</si>
  <si>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</si>
  <si>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</si>
  <si>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</si>
  <si>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</si>
  <si>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</si>
  <si>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</si>
  <si>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</si>
  <si>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</si>
  <si>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</si>
  <si>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</si>
  <si>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</si>
  <si>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</si>
  <si>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</si>
  <si>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</si>
  <si>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</si>
  <si>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</si>
  <si>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</si>
  <si>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</si>
  <si>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</si>
  <si>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</si>
  <si>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</si>
  <si>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</si>
  <si>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</si>
  <si>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</si>
  <si>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</si>
  <si>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</si>
  <si>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</si>
  <si>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</si>
  <si>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</si>
  <si>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</si>
  <si>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</si>
  <si>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</si>
  <si>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</si>
  <si>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</si>
  <si>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</si>
  <si>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</si>
  <si>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</si>
  <si>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</si>
  <si>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</si>
  <si>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</si>
  <si>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</si>
  <si>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</si>
  <si>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</si>
  <si>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</si>
  <si>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</si>
  <si>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</si>
  <si>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Consensus rests on as few as 1 analyst estimate(s).</t>
  </si>
  <si>
    <t>Adjusted: Free cashflow is negative in at least one forecast year, so terminal value carries most of the valuation.</t>
  </si>
  <si>
    <t>Adjusted: Capital expenditure runs at 51.4% of revenue against depreciation of 9.9%. A perpetuity has to be a steady state, so the terminal year uses maintenance capex at depreciation and then charges the reinvestment terminal growth requires (g/ROIC of NOPAT). The bridge is shown under Terminal Value.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</si>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</sst>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-0.010249740650209005</v>
      </c>
    </row>
    <row r="7" spans="1:2" x14ac:dyDescent="0.25">
      <c r="A7" t="s">
        <v>5</v>
      </c>
      <c r="B7" s="6">
        <v>0.17228191419091843</v>
      </c>
    </row>
    <row r="8" spans="1:2" x14ac:dyDescent="0.25">
      <c r="A8" t="s">
        <v>6</v>
      </c>
      <c r="B8" s="6">
        <v>0.21</v>
      </c>
    </row>
    <row r="9" spans="1:2" x14ac:dyDescent="0.25">
      <c r="A9" t="s">
        <v>7</v>
      </c>
      <c r="B9" s="6">
        <v>0.09939006413970498</v>
      </c>
    </row>
    <row r="10" spans="1:2" x14ac:dyDescent="0.25">
      <c r="A10" t="s">
        <v>8</v>
      </c>
      <c r="B10" s="6">
        <v>0.5142885407033985</v>
      </c>
    </row>
    <row r="11" spans="1:2" x14ac:dyDescent="0.25">
      <c r="A11" t="s">
        <v>9</v>
      </c>
      <c r="B11" s="6">
        <v>-0.2358974358974359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11.357249979573972</v>
      </c>
    </row>
    <row r="14" spans="1:3" x14ac:dyDescent="0.25">
      <c r="A14" t="s">
        <v>12</v>
      </c>
      <c r="B14" s="6">
        <v>0.05612243443967154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0.9664999999999999</v>
      </c>
      <c r="C19" s="8" t="s">
        <v>19</v>
      </c>
    </row>
    <row r="20" spans="1:2" x14ac:dyDescent="0.25">
      <c r="A20" t="s">
        <v>20</v>
      </c>
      <c r="B20" s="10">
        <f>B17+B19*B18</f>
        <v>0.1031375</v>
      </c>
    </row>
    <row r="21" spans="1:3" x14ac:dyDescent="0.25">
      <c r="A21" t="s">
        <v>21</v>
      </c>
      <c r="B21" s="6">
        <v>0.049980000000000004</v>
      </c>
      <c r="C21" s="8" t="s">
        <v>22</v>
      </c>
    </row>
    <row r="22" spans="1:2" x14ac:dyDescent="0.25">
      <c r="A22" t="s">
        <v>23</v>
      </c>
      <c r="B22" s="11">
        <v>10580295680</v>
      </c>
    </row>
    <row r="23" spans="1:2" x14ac:dyDescent="0.25">
      <c r="A23" t="s">
        <v>24</v>
      </c>
      <c r="B23" s="11">
        <v>29897000000</v>
      </c>
    </row>
    <row r="24" spans="1:2" x14ac:dyDescent="0.25">
      <c r="A24" t="s">
        <v>25</v>
      </c>
      <c r="B24" s="10">
        <f>B22/(B22+B23)</f>
        <v>0.26138840310983935</v>
      </c>
    </row>
    <row r="25" spans="1:2" x14ac:dyDescent="0.25">
      <c r="A25" t="s">
        <v>26</v>
      </c>
      <c r="B25" s="10">
        <f>1-B24</f>
        <v>0.7386115968901606</v>
      </c>
    </row>
    <row r="26" spans="1:2" x14ac:dyDescent="0.25">
      <c r="A26" t="s">
        <v>27</v>
      </c>
      <c r="B26" s="12">
        <f>B24*B20+B25*B21*(1-B8)</f>
        <v>0.05612243443967154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12233000000</v>
      </c>
      <c r="C29" s="8" t="s">
        <v>30</v>
      </c>
    </row>
    <row r="30" spans="1:2" x14ac:dyDescent="0.25">
      <c r="A30" t="s">
        <v>31</v>
      </c>
      <c r="B30" s="11">
        <v>28341000000</v>
      </c>
    </row>
    <row r="31" spans="1:2" x14ac:dyDescent="0.25">
      <c r="A31" t="s">
        <v>32</v>
      </c>
      <c r="B31" s="13">
        <v>714000000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-0.010249740650209005</v>
      </c>
      <c r="C5" s="10">
        <f>Assumptions!B6</f>
        <v>-0.010249740650209005</v>
      </c>
      <c r="D5" s="10">
        <f>Assumptions!B6</f>
        <v>-0.010249740650209005</v>
      </c>
      <c r="E5" s="10">
        <f>Assumptions!B6</f>
        <v>-0.010249740650209005</v>
      </c>
      <c r="F5" s="10">
        <f>Assumptions!B6</f>
        <v>-0.010249740650209005</v>
      </c>
    </row>
    <row r="6" spans="1:6" x14ac:dyDescent="0.25">
      <c r="A6" t="s">
        <v>43</v>
      </c>
      <c r="B6" s="18">
        <f>Assumptions!B29*(1+B5)</f>
        <v>12107614922.625994</v>
      </c>
      <c r="C6" s="18">
        <f>B6*(1+C5)</f>
        <v>11983515009.776478</v>
      </c>
      <c r="D6" s="18">
        <f>C6*(1+D5)</f>
        <v>11860687088.848383</v>
      </c>
      <c r="E6" s="18">
        <f>D6*(1+E5)</f>
        <v>11739118122.254404</v>
      </c>
      <c r="F6" s="18">
        <f>E6*(1+F5)</f>
        <v>11618795206.039127</v>
      </c>
    </row>
    <row r="7" spans="1:6" x14ac:dyDescent="0.25">
      <c r="A7" t="s">
        <v>5</v>
      </c>
      <c r="B7" s="10">
        <f>Assumptions!B7</f>
        <v>0.17228191419091843</v>
      </c>
      <c r="C7" s="10">
        <f>Assumptions!B7</f>
        <v>0.17228191419091843</v>
      </c>
      <c r="D7" s="10">
        <f>Assumptions!B7</f>
        <v>0.17228191419091843</v>
      </c>
      <c r="E7" s="10">
        <f>Assumptions!B7</f>
        <v>0.17228191419091843</v>
      </c>
      <c r="F7" s="10">
        <f>Assumptions!B7</f>
        <v>0.17228191419091843</v>
      </c>
    </row>
    <row r="8" spans="1:6" x14ac:dyDescent="0.25">
      <c r="A8" t="s">
        <v>44</v>
      </c>
      <c r="B8" s="18">
        <f>B6*B7</f>
        <v>2085923075.156535</v>
      </c>
      <c r="C8" s="18">
        <f>C6*C7</f>
        <v>2064542904.6198943</v>
      </c>
      <c r="D8" s="18">
        <f>D6*D7</f>
        <v>2043381875.2863111</v>
      </c>
      <c r="E8" s="18">
        <f>E6*E7</f>
        <v>2022437741.0152886</v>
      </c>
      <c r="F8" s="18">
        <f>F6*F7</f>
        <v>2001708278.6886873</v>
      </c>
    </row>
    <row r="9" spans="1:6" x14ac:dyDescent="0.25">
      <c r="A9" t="s">
        <v>45</v>
      </c>
      <c r="B9" s="18">
        <f>B8*(1-Assumptions!B8)</f>
        <v>1647879229.3736627</v>
      </c>
      <c r="C9" s="18">
        <f>C8*(1-Assumptions!B8)</f>
        <v>1630988894.6497166</v>
      </c>
      <c r="D9" s="18">
        <f>D8*(1-Assumptions!B8)</f>
        <v>1614271681.4761858</v>
      </c>
      <c r="E9" s="18">
        <f>E8*(1-Assumptions!B8)</f>
        <v>1597725815.4020782</v>
      </c>
      <c r="F9" s="18">
        <f>F8*(1-Assumptions!B8)</f>
        <v>1581349540.164063</v>
      </c>
    </row>
    <row r="10" spans="1:6" x14ac:dyDescent="0.25">
      <c r="A10" t="s">
        <v>46</v>
      </c>
      <c r="B10" s="18">
        <f>B6*Assumptions!B9</f>
        <v>1203376623.7386467</v>
      </c>
      <c r="C10" s="18">
        <f>C6*Assumptions!B9</f>
        <v>1191042325.4408016</v>
      </c>
      <c r="D10" s="18">
        <f>D6*Assumptions!B9</f>
        <v>1178834450.5016115</v>
      </c>
      <c r="E10" s="18">
        <f>E6*Assumptions!B9</f>
        <v>1166751703.1144383</v>
      </c>
      <c r="F10" s="18">
        <f>F6*Assumptions!B9</f>
        <v>1154792800.7543256</v>
      </c>
    </row>
    <row r="11" spans="1:6" x14ac:dyDescent="0.25">
      <c r="A11" t="s">
        <v>47</v>
      </c>
      <c r="B11" s="18">
        <f>-B6*Assumptions!B10</f>
        <v>-6226807609.956013</v>
      </c>
      <c r="C11" s="18">
        <f>-C6*Assumptions!B10</f>
        <v>-6162984446.8752165</v>
      </c>
      <c r="D11" s="18">
        <f>-D6*Assumptions!B10</f>
        <v>-6099815454.663474</v>
      </c>
      <c r="E11" s="18">
        <f>-E6*Assumptions!B10</f>
        <v>-6037293928.239037</v>
      </c>
      <c r="F11" s="18">
        <f>-F6*Assumptions!B10</f>
        <v>-5975413231.245504</v>
      </c>
    </row>
    <row r="12" spans="1:6" x14ac:dyDescent="0.25">
      <c r="A12" t="s">
        <v>48</v>
      </c>
      <c r="B12" s="18">
        <f>-(B6-Assumptions!B29)*Assumptions!B11</f>
        <v>-29578018.252329685</v>
      </c>
      <c r="C12" s="18">
        <f>-(C6-B6)*Assumptions!B11</f>
        <v>-29274851.23629606</v>
      </c>
      <c r="D12" s="18">
        <f>-(D6-C6)*Assumptions!B11</f>
        <v>-28974791.603550583</v>
      </c>
      <c r="E12" s="18">
        <f>-(E6-D6)*Assumptions!B11</f>
        <v>-28677807.504220657</v>
      </c>
      <c r="F12" s="18">
        <f>-(F6-E6)*Assumptions!B11</f>
        <v>-28383867.41488579</v>
      </c>
    </row>
    <row r="13" spans="1:6" x14ac:dyDescent="0.25">
      <c r="A13" s="19" t="s">
        <v>49</v>
      </c>
      <c r="B13" s="20">
        <f>B9+B10+B11+B12</f>
        <v>-3405129775.096033</v>
      </c>
      <c r="C13" s="20">
        <f>C9+C10+C11+C12</f>
        <v>-3370228078.0209947</v>
      </c>
      <c r="D13" s="20">
        <f>D9+D10+D11+D12</f>
        <v>-3335684114.289227</v>
      </c>
      <c r="E13" s="20">
        <f>E9+E10+E11+E12</f>
        <v>-3301494217.2267404</v>
      </c>
      <c r="F13" s="20">
        <f>F9+F10+F11+F12</f>
        <v>-3267654757.742002</v>
      </c>
    </row>
    <row r="14" spans="1:6" x14ac:dyDescent="0.25">
      <c r="A14" t="s">
        <v>50</v>
      </c>
      <c r="B14" s="21">
        <f>1/(1+Assumptions!$B$26)^(1-0.5*Assumptions!$B$32)</f>
        <v>0.973067272297921</v>
      </c>
      <c r="C14" s="21">
        <f>1/(1+Assumptions!$B$26)^(2-0.5*Assumptions!$B$32)</f>
        <v>0.9213583961164353</v>
      </c>
      <c r="D14" s="21">
        <f>1/(1+Assumptions!$B$26)^(3-0.5*Assumptions!$B$32)</f>
        <v>0.8723973339372005</v>
      </c>
      <c r="E14" s="21">
        <f>1/(1+Assumptions!$B$26)^(4-0.5*Assumptions!$B$32)</f>
        <v>0.8260380666944672</v>
      </c>
      <c r="F14" s="21">
        <f>1/(1+Assumptions!$B$26)^(5-0.5*Assumptions!$B$32)</f>
        <v>0.7821423347878448</v>
      </c>
    </row>
    <row r="15" spans="1:6" x14ac:dyDescent="0.25">
      <c r="A15" s="19" t="s">
        <v>51</v>
      </c>
      <c r="B15" s="20">
        <f>B13*B14</f>
        <v>-3313420342.07313</v>
      </c>
      <c r="C15" s="20">
        <f>C13*C14</f>
        <v>-3105187936.512</v>
      </c>
      <c r="D15" s="20">
        <f>D13*D14</f>
        <v>-2910041928.162594</v>
      </c>
      <c r="E15" s="20">
        <f>E13*E14</f>
        <v>-2727159900.40094</v>
      </c>
      <c r="F15" s="20">
        <f>F13*F14</f>
        <v>-2555771121.500939</v>
      </c>
    </row>
    <row r="17" spans="1:2" x14ac:dyDescent="0.25">
      <c r="A17" s="22" t="s">
        <v>52</v>
      </c>
      <c r="B17" s="23">
        <f>SUM(B15:F15)</f>
        <v>-14611581228.649603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-3267654757.742002</v>
      </c>
    </row>
    <row r="5" spans="1:2" x14ac:dyDescent="0.25">
      <c r="A5" t="s">
        <v>56</v>
      </c>
      <c r="B5" s="18">
        <f>IF(Assumptions!$B$33=0,B4,B4-Forecast!F11-Forecast!F10-Forecast!F12)</f>
        <v>1581349540.164063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0.4454546608606865</v>
      </c>
    </row>
    <row r="7" spans="1:2" x14ac:dyDescent="0.25">
      <c r="A7" t="s">
        <v>58</v>
      </c>
      <c r="B7" s="18">
        <f>-MAX(Forecast!F9,0)*B6</f>
        <v>-704419523.1159853</v>
      </c>
    </row>
    <row r="8" spans="1:2" x14ac:dyDescent="0.25">
      <c r="A8" t="s">
        <v>59</v>
      </c>
      <c r="B8" s="18">
        <f>IF(OR(Assumptions!$B$33=0,Assumptions!B12&lt;=0),B5,MAX(B5+B7,0))</f>
        <v>876930017.0480777</v>
      </c>
    </row>
    <row r="9" spans="1:2" x14ac:dyDescent="0.25">
      <c r="A9" t="s">
        <v>60</v>
      </c>
      <c r="B9" s="18">
        <f>B8*(1+Assumptions!B12)/(Assumptions!B26-Assumptions!B12)</f>
        <v>28881200447.755394</v>
      </c>
    </row>
    <row r="10" spans="1:2" x14ac:dyDescent="0.25">
      <c r="A10" t="s">
        <v>61</v>
      </c>
      <c r="B10" s="18">
        <f>B9/(1+Assumptions!B26)^(5-0.5*Assumptions!B32)</f>
        <v>22589209549.68315</v>
      </c>
    </row>
    <row r="11" spans="1:2" x14ac:dyDescent="0.25">
      <c r="A11" t="s">
        <v>62</v>
      </c>
      <c r="B11" s="18">
        <f>Forecast!B17+B10</f>
        <v>7977628321.033548</v>
      </c>
    </row>
    <row r="12" spans="1:2" x14ac:dyDescent="0.25">
      <c r="A12" t="s">
        <v>63</v>
      </c>
      <c r="B12" s="18">
        <f>-Assumptions!B30</f>
        <v>-28341000000</v>
      </c>
    </row>
    <row r="13" spans="1:2" x14ac:dyDescent="0.25">
      <c r="A13" t="s">
        <v>64</v>
      </c>
      <c r="B13" s="18">
        <f>B11+B12</f>
        <v>-20363371678.966454</v>
      </c>
    </row>
    <row r="14" spans="1:2" x14ac:dyDescent="0.25">
      <c r="A14" s="19" t="s">
        <v>65</v>
      </c>
      <c r="B14" s="24">
        <f>B13/Assumptions!B31</f>
        <v>-28.5201284019138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3156501079.443013</v>
      </c>
    </row>
    <row r="18" spans="1:2" x14ac:dyDescent="0.25">
      <c r="A18" t="s">
        <v>60</v>
      </c>
      <c r="B18" s="18">
        <f>B17*Assumptions!B13</f>
        <v>35849171820.02938</v>
      </c>
    </row>
    <row r="19" spans="1:2" x14ac:dyDescent="0.25">
      <c r="A19" t="s">
        <v>61</v>
      </c>
      <c r="B19" s="18">
        <f>B18/(1+Assumptions!B26)^(5-0.5*Assumptions!B32)</f>
        <v>28039154947.52839</v>
      </c>
    </row>
    <row r="20" spans="1:2" x14ac:dyDescent="0.25">
      <c r="A20" t="s">
        <v>62</v>
      </c>
      <c r="B20" s="18">
        <f>Forecast!B17+B19</f>
        <v>13427573718.878786</v>
      </c>
    </row>
    <row r="21" spans="1:2" x14ac:dyDescent="0.25">
      <c r="A21" t="s">
        <v>63</v>
      </c>
      <c r="B21" s="18">
        <f>-Assumptions!B30</f>
        <v>-28341000000</v>
      </c>
    </row>
    <row r="22" spans="1:2" x14ac:dyDescent="0.25">
      <c r="A22" t="s">
        <v>64</v>
      </c>
      <c r="B22" s="18">
        <f>B20+B21</f>
        <v>-14913426281.121214</v>
      </c>
    </row>
    <row r="23" spans="1:2" x14ac:dyDescent="0.25">
      <c r="A23" s="19" t="s">
        <v>65</v>
      </c>
      <c r="B23" s="25">
        <f>B22/Assumptions!B31</f>
        <v>-20.887151654231392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14.83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-28.5201284019138</v>
      </c>
    </row>
    <row r="29" spans="1:2" x14ac:dyDescent="0.25">
      <c r="A29" s="19" t="s">
        <v>73</v>
      </c>
      <c r="B29" s="12">
        <f>B28/B26-1</f>
        <v>-2.923137451241659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0.036122</v>
      </c>
      <c r="B5" s="31">
        <v>5.150398561001353</v>
      </c>
      <c r="C5" s="31">
        <v>15.39573894455377</v>
      </c>
      <c r="D5" s="31">
        <v>34.70032283922675</v>
      </c>
      <c r="E5" s="31">
        <v>85.26092461071916</v>
      </c>
      <c r="F5" s="31">
        <v>584.9387458207894</v>
      </c>
    </row>
    <row r="6" spans="1:6" x14ac:dyDescent="0.25">
      <c r="A6" s="30">
        <v>0.046122</v>
      </c>
      <c r="B6" s="31">
        <v>-17.55601136341647</v>
      </c>
      <c r="C6" s="31">
        <v>-15.403341325078841</v>
      </c>
      <c r="D6" s="31">
        <v>-12.308432467203456</v>
      </c>
      <c r="E6" s="31">
        <v>-7.394620461973238</v>
      </c>
      <c r="F6" s="31">
        <v>1.791209886648675</v>
      </c>
    </row>
    <row r="7" spans="1:6" x14ac:dyDescent="0.25">
      <c r="A7" s="30">
        <v>0.056122</v>
      </c>
      <c r="B7" s="31">
        <v>-28.82850685540807</v>
      </c>
      <c r="C7" s="31">
        <v>-28.674175870728764</v>
      </c>
      <c r="D7" s="32">
        <v>-28.519844886049462</v>
      </c>
      <c r="E7" s="31">
        <v>-28.365513901370154</v>
      </c>
      <c r="F7" s="31">
        <v>-28.211182916690863</v>
      </c>
    </row>
    <row r="8" spans="1:6" x14ac:dyDescent="0.25">
      <c r="A8" s="30">
        <v>0.066122</v>
      </c>
      <c r="B8" s="31">
        <v>-34.22038101341046</v>
      </c>
      <c r="C8" s="31">
        <v>-34.09482930868341</v>
      </c>
      <c r="D8" s="31">
        <v>-33.969277603956364</v>
      </c>
      <c r="E8" s="31">
        <v>-33.8437258992293</v>
      </c>
      <c r="F8" s="31">
        <v>-33.718174194502254</v>
      </c>
    </row>
    <row r="9" spans="1:6" x14ac:dyDescent="0.25">
      <c r="A9" s="30">
        <v>0.076122</v>
      </c>
      <c r="B9" s="31">
        <v>-38.046455469451324</v>
      </c>
      <c r="C9" s="31">
        <v>-37.94188412698119</v>
      </c>
      <c r="D9" s="31">
        <v>-37.837312784511056</v>
      </c>
      <c r="E9" s="31">
        <v>-37.73274144204091</v>
      </c>
      <c r="F9" s="31">
        <v>-37.628170099570774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12233000000</v>
      </c>
      <c r="C5" s="18">
        <v>12278000000</v>
      </c>
      <c r="D5" s="18">
        <v>12668000000</v>
      </c>
      <c r="E5" s="18">
        <v>12617000000</v>
      </c>
      <c r="F5" s="8" t="s">
        <v>84</v>
      </c>
    </row>
    <row r="6" spans="1:6" x14ac:dyDescent="0.25">
      <c r="A6" t="s">
        <v>44</v>
      </c>
      <c r="B6" s="18">
        <v>1970000000</v>
      </c>
      <c r="C6" s="18">
        <v>2026000000</v>
      </c>
      <c r="D6" s="18">
        <v>2249000000</v>
      </c>
      <c r="E6" s="18">
        <v>2341000000</v>
      </c>
      <c r="F6" s="8" t="s">
        <v>85</v>
      </c>
    </row>
    <row r="7" spans="1:6" x14ac:dyDescent="0.25">
      <c r="A7" t="s">
        <v>86</v>
      </c>
      <c r="B7" s="18">
        <v>1457000000</v>
      </c>
      <c r="C7" s="18">
        <v>1264000000</v>
      </c>
      <c r="D7" s="18">
        <v>1147000000</v>
      </c>
      <c r="E7" s="18">
        <v>1072000000</v>
      </c>
      <c r="F7" s="8" t="s">
        <v>87</v>
      </c>
    </row>
    <row r="8" spans="1:6" x14ac:dyDescent="0.25">
      <c r="A8" t="s">
        <v>88</v>
      </c>
      <c r="B8" s="18">
        <v>5929000000</v>
      </c>
      <c r="C8" s="18">
        <v>7392000000</v>
      </c>
      <c r="D8" s="18">
        <v>7724000000</v>
      </c>
      <c r="E8" s="18">
        <v>4551000000</v>
      </c>
      <c r="F8" s="8" t="s">
        <v>89</v>
      </c>
    </row>
    <row r="9" spans="1:6" x14ac:dyDescent="0.25">
      <c r="A9" t="s">
        <v>90</v>
      </c>
      <c r="B9" s="18">
        <v>-199000000</v>
      </c>
      <c r="C9" s="18">
        <v>92000000</v>
      </c>
      <c r="D9" s="18">
        <v>-310000000</v>
      </c>
      <c r="E9" s="18">
        <v>289000000</v>
      </c>
      <c r="F9" s="8" t="s">
        <v>91</v>
      </c>
    </row>
    <row r="10" spans="1:6" x14ac:dyDescent="0.25">
      <c r="A10" t="s">
        <v>92</v>
      </c>
      <c r="B10" s="18">
        <v>29897000000</v>
      </c>
      <c r="C10" s="18">
        <v>29018000000</v>
      </c>
      <c r="D10" s="18">
        <v>26878000000</v>
      </c>
      <c r="E10" s="18">
        <v>23498000000</v>
      </c>
      <c r="F10" s="8" t="s">
        <v>93</v>
      </c>
    </row>
    <row r="11" spans="1:6" x14ac:dyDescent="0.25">
      <c r="A11" t="s">
        <v>94</v>
      </c>
      <c r="B11" s="18">
        <v>1556000000</v>
      </c>
      <c r="C11" s="18">
        <v>1603000000</v>
      </c>
      <c r="D11" s="18">
        <v>1821000000</v>
      </c>
      <c r="E11" s="18">
        <v>2104000000</v>
      </c>
      <c r="F11" s="8" t="s">
        <v>95</v>
      </c>
    </row>
    <row r="12" spans="1:6" x14ac:dyDescent="0.25">
      <c r="A12" t="s">
        <v>32</v>
      </c>
      <c r="B12" s="34">
        <v>714000000</v>
      </c>
      <c r="C12" s="34">
        <v>711440678</v>
      </c>
      <c r="D12" s="34">
        <v>712000000</v>
      </c>
      <c r="E12" s="34">
        <v>665853659</v>
      </c>
      <c r="F12" s="8" t="s">
        <v>96</v>
      </c>
    </row>
    <row r="15" spans="1:1" x14ac:dyDescent="0.25">
      <c r="A15" s="19" t="s">
        <v>97</v>
      </c>
    </row>
    <row r="16" ht="22" customHeight="1" spans="1:6" x14ac:dyDescent="0.25">
      <c r="A16" s="35" t="s">
        <v>98</v>
      </c>
      <c r="B16" s="35"/>
      <c r="C16" s="35"/>
      <c r="D16" s="35"/>
      <c r="E16" s="35"/>
      <c r="F16" s="35"/>
    </row>
    <row r="17" ht="22" customHeight="1" spans="1:6" x14ac:dyDescent="0.25">
      <c r="A17" s="35" t="s">
        <v>99</v>
      </c>
      <c r="B17" s="35"/>
      <c r="C17" s="35"/>
      <c r="D17" s="35"/>
      <c r="E17" s="35"/>
      <c r="F17" s="35"/>
    </row>
    <row r="18" ht="54" customHeight="1" spans="1:6" x14ac:dyDescent="0.25">
      <c r="A18" s="35" t="s">
        <v>100</v>
      </c>
      <c r="B18" s="35"/>
      <c r="C18" s="35"/>
      <c r="D18" s="35"/>
      <c r="E18" s="35"/>
      <c r="F18" s="35"/>
    </row>
    <row r="20" spans="1:1" x14ac:dyDescent="0.25">
      <c r="A20" s="36" t="s">
        <v>101</v>
      </c>
    </row>
  </sheetData>
  <mergeCells count="3">
    <mergeCell ref="A16:F16"/>
    <mergeCell ref="A17:F17"/>
    <mergeCell ref="A18:F18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2026-09-19T00:06:56Z</dcterms:modified>
</cp:coreProperties>
</file>