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<sst xmlns="http://schemas.openxmlformats.org/spreadsheetml/2006/main" count="113" uniqueCount="101">
  <si>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AGL Energy Limited (AGL.AX)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</si>
  <si>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</si>
  <si>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</si>
  <si>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</si>
  <si>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</si>
  <si>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</si>
  <si>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</si>
  <si>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</si>
  <si>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</si>
  <si>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</si>
  <si>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</si>
  <si>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</si>
  <si>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</si>
  <si>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</si>
  <si>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</si>
  <si>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</si>
  <si>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</si>
  <si>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</si>
  <si>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</si>
  <si>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</si>
  <si>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</si>
  <si>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</si>
  <si>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</si>
  <si>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</si>
  <si>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</si>
  <si>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</si>
  <si>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</si>
  <si>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</si>
  <si>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</si>
  <si>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</si>
  <si>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</si>
  <si>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</si>
  <si>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</si>
  <si>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</si>
  <si>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</si>
  <si>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</si>
  <si>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</si>
  <si>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</si>
  <si>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</si>
  <si>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</si>
  <si>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</si>
  <si>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</si>
  <si>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</si>
  <si>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</si>
  <si>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</si>
  <si>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</si>
  <si>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</si>
  <si>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</si>
  <si>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</si>
  <si>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</si>
  <si>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</si>
  <si>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</si>
  <si>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</si>
  <si>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</si>
  <si>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</si>
  <si>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</si>
  <si>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</si>
  <si>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</si>
  <si>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</si>
  <si>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</si>
  <si>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</si>
  <si>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</si>
  <si>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</si>
  <si>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</si>
  <si>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</si>
  <si>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</si>
  <si>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</si>
  <si>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</si>
  <si>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</si>
  <si>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</si>
  <si>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</si>
  <si>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</si>
  <si>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</si>
  <si>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</si>
  <si>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</si>
  <si>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</si>
  <si>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</si>
  <si>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</si>
  <si>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</si>
  <si>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</si>
  <si>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</si>
  <si>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</si>
  <si>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</si>
  <si>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</si>
  <si>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</si>
  <si>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</si>
  <si>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</si>
  <si>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</si>
  <si>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</si>
  <si>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</si>
  <si>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</si>
  <si>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</si>
  <si>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</si>
  <si>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</si>
  <si>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</si>
  <si>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</si>
  <si>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</si>
  <si>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</si>
  <si>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</si>
  <si>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Capital expenditure runs at 7.4% of revenue against depreciation of 5.7%.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</si>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</sst>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-0.006751076897242747</v>
      </c>
    </row>
    <row r="7" spans="1:2" x14ac:dyDescent="0.25">
      <c r="A7" t="s">
        <v>5</v>
      </c>
      <c r="B7" s="6">
        <v>0.04938039305136901</v>
      </c>
    </row>
    <row r="8" spans="1:2" x14ac:dyDescent="0.25">
      <c r="A8" t="s">
        <v>6</v>
      </c>
      <c r="B8" s="6">
        <v>0.2807888314217428</v>
      </c>
    </row>
    <row r="9" spans="1:2" x14ac:dyDescent="0.25">
      <c r="A9" t="s">
        <v>7</v>
      </c>
      <c r="B9" s="6">
        <v>0.057257025051767184</v>
      </c>
    </row>
    <row r="10" spans="1:2" x14ac:dyDescent="0.25">
      <c r="A10" t="s">
        <v>8</v>
      </c>
      <c r="B10" s="6">
        <v>0.07398846757946344</v>
      </c>
    </row>
    <row r="11" spans="1:2" x14ac:dyDescent="0.25">
      <c r="A11" t="s">
        <v>9</v>
      </c>
      <c r="B11" s="6">
        <v>-0.233983286908078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4.218777129017234</v>
      </c>
    </row>
    <row r="14" spans="1:3" x14ac:dyDescent="0.25">
      <c r="A14" t="s">
        <v>12</v>
      </c>
      <c r="B14" s="6">
        <v>0.07365960385665754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0.48678</v>
      </c>
      <c r="C19" s="8" t="s">
        <v>19</v>
      </c>
    </row>
    <row r="20" spans="1:2" x14ac:dyDescent="0.25">
      <c r="A20" t="s">
        <v>20</v>
      </c>
      <c r="B20" s="10">
        <f>B17+B19*B18</f>
        <v>0.0826868</v>
      </c>
    </row>
    <row r="21" spans="1:3" x14ac:dyDescent="0.25">
      <c r="A21" t="s">
        <v>21</v>
      </c>
      <c r="B21" s="6">
        <v>0.08472960087181583</v>
      </c>
      <c r="C21" s="8" t="s">
        <v>22</v>
      </c>
    </row>
    <row r="22" spans="1:2" x14ac:dyDescent="0.25">
      <c r="A22" t="s">
        <v>23</v>
      </c>
      <c r="B22" s="11">
        <v>5684714496</v>
      </c>
    </row>
    <row r="23" spans="1:2" x14ac:dyDescent="0.25">
      <c r="A23" t="s">
        <v>24</v>
      </c>
      <c r="B23" s="11">
        <v>4034000000</v>
      </c>
    </row>
    <row r="24" spans="1:2" x14ac:dyDescent="0.25">
      <c r="A24" t="s">
        <v>25</v>
      </c>
      <c r="B24" s="10">
        <f>B22/(B22+B23)</f>
        <v>0.5849245286853213</v>
      </c>
    </row>
    <row r="25" spans="1:2" x14ac:dyDescent="0.25">
      <c r="A25" t="s">
        <v>26</v>
      </c>
      <c r="B25" s="10">
        <f>1-B24</f>
        <v>0.4150754713146787</v>
      </c>
    </row>
    <row r="26" spans="1:2" x14ac:dyDescent="0.25">
      <c r="A26" t="s">
        <v>27</v>
      </c>
      <c r="B26" s="12">
        <f>B24*B20+B25*B21*(1-B8)</f>
        <v>0.07365960385665754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13590000000</v>
      </c>
      <c r="C29" s="8" t="s">
        <v>30</v>
      </c>
    </row>
    <row r="30" spans="1:2" x14ac:dyDescent="0.25">
      <c r="A30" t="s">
        <v>31</v>
      </c>
      <c r="B30" s="11">
        <v>3373000000</v>
      </c>
    </row>
    <row r="31" spans="1:2" x14ac:dyDescent="0.25">
      <c r="A31" t="s">
        <v>32</v>
      </c>
      <c r="B31" s="13">
        <v>673796791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-0.006751076897242747</v>
      </c>
      <c r="C5" s="10">
        <f>Assumptions!B6</f>
        <v>-0.006751076897242747</v>
      </c>
      <c r="D5" s="10">
        <f>Assumptions!B6</f>
        <v>-0.006751076897242747</v>
      </c>
      <c r="E5" s="10">
        <f>Assumptions!B6</f>
        <v>-0.006751076897242747</v>
      </c>
      <c r="F5" s="10">
        <f>Assumptions!B6</f>
        <v>-0.006751076897242747</v>
      </c>
    </row>
    <row r="6" spans="1:6" x14ac:dyDescent="0.25">
      <c r="A6" t="s">
        <v>43</v>
      </c>
      <c r="B6" s="18">
        <f>Assumptions!B29*(1+B5)</f>
        <v>13498252864.96647</v>
      </c>
      <c r="C6" s="18">
        <f>B6*(1+C5)</f>
        <v>13407125121.896654</v>
      </c>
      <c r="D6" s="18">
        <f>C6*(1+D5)</f>
        <v>13316612589.227776</v>
      </c>
      <c r="E6" s="18">
        <f>D6*(1+E5)</f>
        <v>13226711113.627108</v>
      </c>
      <c r="F6" s="18">
        <f>E6*(1+F5)</f>
        <v>13137416569.801395</v>
      </c>
    </row>
    <row r="7" spans="1:6" x14ac:dyDescent="0.25">
      <c r="A7" t="s">
        <v>5</v>
      </c>
      <c r="B7" s="10">
        <f>Assumptions!B7</f>
        <v>0.04938039305136901</v>
      </c>
      <c r="C7" s="10">
        <f>Assumptions!B7</f>
        <v>0.04938039305136901</v>
      </c>
      <c r="D7" s="10">
        <f>Assumptions!B7</f>
        <v>0.04938039305136901</v>
      </c>
      <c r="E7" s="10">
        <f>Assumptions!B7</f>
        <v>0.04938039305136901</v>
      </c>
      <c r="F7" s="10">
        <f>Assumptions!B7</f>
        <v>0.04938039305136901</v>
      </c>
    </row>
    <row r="8" spans="1:6" x14ac:dyDescent="0.25">
      <c r="A8" t="s">
        <v>44</v>
      </c>
      <c r="B8" s="18">
        <f>B6*B7</f>
        <v>666549031.9788121</v>
      </c>
      <c r="C8" s="18">
        <f>C6*C7</f>
        <v>662049108.2081404</v>
      </c>
      <c r="D8" s="18">
        <f>D6*D7</f>
        <v>657579563.7688763</v>
      </c>
      <c r="E8" s="18">
        <f>E6*E7</f>
        <v>653140193.5678172</v>
      </c>
      <c r="F8" s="18">
        <f>F6*F7</f>
        <v>648730793.8963609</v>
      </c>
    </row>
    <row r="9" spans="1:6" x14ac:dyDescent="0.25">
      <c r="A9" t="s">
        <v>45</v>
      </c>
      <c r="B9" s="18">
        <f>B8*(1-Assumptions!B8)</f>
        <v>479389508.2041876</v>
      </c>
      <c r="C9" s="18">
        <f>C8*(1-Assumptions!B8)</f>
        <v>476153112.7705697</v>
      </c>
      <c r="D9" s="18">
        <f>D8*(1-Assumptions!B8)</f>
        <v>472938566.4913941</v>
      </c>
      <c r="E9" s="18">
        <f>E8*(1-Assumptions!B8)</f>
        <v>469745721.8613389</v>
      </c>
      <c r="F9" s="18">
        <f>F8*(1-Assumptions!B8)</f>
        <v>466574432.37090224</v>
      </c>
    </row>
    <row r="10" spans="1:6" x14ac:dyDescent="0.25">
      <c r="A10" t="s">
        <v>46</v>
      </c>
      <c r="B10" s="18">
        <f>B6*Assumptions!B9</f>
        <v>772869802.4444734</v>
      </c>
      <c r="C10" s="18">
        <f>C6*Assumptions!B9</f>
        <v>767652098.9766139</v>
      </c>
      <c r="D10" s="18">
        <f>D6*Assumptions!B9</f>
        <v>762469620.626093</v>
      </c>
      <c r="E10" s="18">
        <f>E6*Assumptions!B9</f>
        <v>757322129.5854347</v>
      </c>
      <c r="F10" s="18">
        <f>F6*Assumptions!B9</f>
        <v>752209389.6526198</v>
      </c>
    </row>
    <row r="11" spans="1:6" x14ac:dyDescent="0.25">
      <c r="A11" t="s">
        <v>47</v>
      </c>
      <c r="B11" s="18">
        <f>-B6*Assumptions!B10</f>
        <v>-998715044.4789712</v>
      </c>
      <c r="C11" s="18">
        <f>-C6*Assumptions!B10</f>
        <v>-991972642.4152604</v>
      </c>
      <c r="D11" s="18">
        <f>-D6*Assumptions!B10</f>
        <v>-985275758.8263539</v>
      </c>
      <c r="E11" s="18">
        <f>-E6*Assumptions!B10</f>
        <v>-978624086.413528</v>
      </c>
      <c r="F11" s="18">
        <f>-F6*Assumptions!B10</f>
        <v>-972017319.9526563</v>
      </c>
    </row>
    <row r="12" spans="1:6" x14ac:dyDescent="0.25">
      <c r="A12" t="s">
        <v>48</v>
      </c>
      <c r="B12" s="18">
        <f>-(B6-Assumptions!B29)*Assumptions!B11</f>
        <v>-21467296.219544455</v>
      </c>
      <c r="C12" s="18">
        <f>-(C6-B6)*Assumptions!B11</f>
        <v>-21322368.85199051</v>
      </c>
      <c r="D12" s="18">
        <f>-(D6-C6)*Assumptions!B11</f>
        <v>-21178419.900238995</v>
      </c>
      <c r="E12" s="18">
        <f>-(E6-D6)*Assumptions!B11</f>
        <v>-21035442.75893066</v>
      </c>
      <c r="F12" s="18">
        <f>-(F6-E6)*Assumptions!B11</f>
        <v>-20893430.867297564</v>
      </c>
    </row>
    <row r="13" spans="1:6" x14ac:dyDescent="0.25">
      <c r="A13" s="19" t="s">
        <v>49</v>
      </c>
      <c r="B13" s="20">
        <f>B9+B10+B11+B12</f>
        <v>232076969.95014518</v>
      </c>
      <c r="C13" s="20">
        <f>C9+C10+C11+C12</f>
        <v>230510200.4799326</v>
      </c>
      <c r="D13" s="20">
        <f>D9+D10+D11+D12</f>
        <v>228954008.3908943</v>
      </c>
      <c r="E13" s="20">
        <f>E9+E10+E11+E12</f>
        <v>227408322.2743149</v>
      </c>
      <c r="F13" s="20">
        <f>F9+F10+F11+F12</f>
        <v>225873071.2035683</v>
      </c>
    </row>
    <row r="14" spans="1:6" x14ac:dyDescent="0.25">
      <c r="A14" t="s">
        <v>50</v>
      </c>
      <c r="B14" s="21">
        <f>1/(1+Assumptions!$B$26)^(1-0.5*Assumptions!$B$32)</f>
        <v>0.9650875062309796</v>
      </c>
      <c r="C14" s="21">
        <f>1/(1+Assumptions!$B$26)^(2-0.5*Assumptions!$B$32)</f>
        <v>0.8988766111385028</v>
      </c>
      <c r="D14" s="21">
        <f>1/(1+Assumptions!$B$26)^(3-0.5*Assumptions!$B$32)</f>
        <v>0.8372081876878645</v>
      </c>
      <c r="E14" s="21">
        <f>1/(1+Assumptions!$B$26)^(4-0.5*Assumptions!$B$32)</f>
        <v>0.779770594591206</v>
      </c>
      <c r="F14" s="21">
        <f>1/(1+Assumptions!$B$26)^(5-0.5*Assumptions!$B$32)</f>
        <v>0.7262735710556844</v>
      </c>
    </row>
    <row r="15" spans="1:6" x14ac:dyDescent="0.25">
      <c r="A15" s="19" t="s">
        <v>51</v>
      </c>
      <c r="B15" s="20">
        <f>B13*B14</f>
        <v>223974584.18282762</v>
      </c>
      <c r="C15" s="20">
        <f>C13*C14</f>
        <v>207200227.84025872</v>
      </c>
      <c r="D15" s="20">
        <f>D13*D14</f>
        <v>191682170.42881274</v>
      </c>
      <c r="E15" s="20">
        <f>E13*E14</f>
        <v>177326322.67483112</v>
      </c>
      <c r="F15" s="20">
        <f>F13*F14</f>
        <v>164045642.02833042</v>
      </c>
    </row>
    <row r="17" spans="1:2" x14ac:dyDescent="0.25">
      <c r="A17" s="22" t="s">
        <v>52</v>
      </c>
      <c r="B17" s="23">
        <f>SUM(B15:F15)</f>
        <v>964228947.1550606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225873071.2035683</v>
      </c>
    </row>
    <row r="5" spans="1:2" x14ac:dyDescent="0.25">
      <c r="A5" t="s">
        <v>56</v>
      </c>
      <c r="B5" s="18">
        <f>IF(Assumptions!$B$33=0,B4,B4-Forecast!F11-Forecast!F10-Forecast!F12)</f>
        <v>466574432.37090224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0.33939905580608737</v>
      </c>
    </row>
    <row r="7" spans="1:2" x14ac:dyDescent="0.25">
      <c r="A7" t="s">
        <v>58</v>
      </c>
      <c r="B7" s="18">
        <f>-MAX(Forecast!F9,0)*B6</f>
        <v>-158354921.80994537</v>
      </c>
    </row>
    <row r="8" spans="1:2" x14ac:dyDescent="0.25">
      <c r="A8" t="s">
        <v>59</v>
      </c>
      <c r="B8" s="18">
        <f>IF(OR(Assumptions!$B$33=0,Assumptions!B12&lt;=0),B5,MAX(B5+B7,0))</f>
        <v>308219510.56095684</v>
      </c>
    </row>
    <row r="9" spans="1:2" x14ac:dyDescent="0.25">
      <c r="A9" t="s">
        <v>60</v>
      </c>
      <c r="B9" s="18">
        <f>B8*(1+Assumptions!B12)/(Assumptions!B26-Assumptions!B12)</f>
        <v>6492551794.20776</v>
      </c>
    </row>
    <row r="10" spans="1:2" x14ac:dyDescent="0.25">
      <c r="A10" t="s">
        <v>61</v>
      </c>
      <c r="B10" s="18">
        <f>B9/(1+Assumptions!B26)^(5-0.5*Assumptions!B32)</f>
        <v>4715368776.843261</v>
      </c>
    </row>
    <row r="11" spans="1:2" x14ac:dyDescent="0.25">
      <c r="A11" t="s">
        <v>62</v>
      </c>
      <c r="B11" s="18">
        <f>Forecast!B17+B10</f>
        <v>5679597723.998322</v>
      </c>
    </row>
    <row r="12" spans="1:2" x14ac:dyDescent="0.25">
      <c r="A12" t="s">
        <v>63</v>
      </c>
      <c r="B12" s="18">
        <f>-Assumptions!B30</f>
        <v>-3373000000</v>
      </c>
    </row>
    <row r="13" spans="1:2" x14ac:dyDescent="0.25">
      <c r="A13" t="s">
        <v>64</v>
      </c>
      <c r="B13" s="18">
        <f>B11+B12</f>
        <v>2306597723.9983215</v>
      </c>
    </row>
    <row r="14" spans="1:2" x14ac:dyDescent="0.25">
      <c r="A14" s="19" t="s">
        <v>65</v>
      </c>
      <c r="B14" s="24">
        <f>B13/Assumptions!B31</f>
        <v>3.423283925966815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1400940183.5489807</v>
      </c>
    </row>
    <row r="18" spans="1:2" x14ac:dyDescent="0.25">
      <c r="A18" t="s">
        <v>60</v>
      </c>
      <c r="B18" s="18">
        <f>B17*Assumptions!B13</f>
        <v>5910254405.477645</v>
      </c>
    </row>
    <row r="19" spans="1:2" x14ac:dyDescent="0.25">
      <c r="A19" t="s">
        <v>61</v>
      </c>
      <c r="B19" s="18">
        <f>B18/(1+Assumptions!B26)^(5-0.5*Assumptions!B32)</f>
        <v>4292461572.91384</v>
      </c>
    </row>
    <row r="20" spans="1:2" x14ac:dyDescent="0.25">
      <c r="A20" t="s">
        <v>62</v>
      </c>
      <c r="B20" s="18">
        <f>Forecast!B17+B19</f>
        <v>5256690520.0689</v>
      </c>
    </row>
    <row r="21" spans="1:2" x14ac:dyDescent="0.25">
      <c r="A21" t="s">
        <v>63</v>
      </c>
      <c r="B21" s="18">
        <f>-Assumptions!B30</f>
        <v>-3373000000</v>
      </c>
    </row>
    <row r="22" spans="1:2" x14ac:dyDescent="0.25">
      <c r="A22" t="s">
        <v>64</v>
      </c>
      <c r="B22" s="18">
        <f>B20+B21</f>
        <v>1883690520.0689</v>
      </c>
    </row>
    <row r="23" spans="1:2" x14ac:dyDescent="0.25">
      <c r="A23" s="19" t="s">
        <v>65</v>
      </c>
      <c r="B23" s="25">
        <f>B22/Assumptions!B31</f>
        <v>2.7956359324200166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8.45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3.423283925966815</v>
      </c>
    </row>
    <row r="29" spans="1:2" x14ac:dyDescent="0.25">
      <c r="A29" s="19" t="s">
        <v>73</v>
      </c>
      <c r="B29" s="12">
        <f>B28/B26-1</f>
        <v>-0.5948776418974183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0.05366</v>
      </c>
      <c r="B5" s="31">
        <v>7.274618047635817</v>
      </c>
      <c r="C5" s="31">
        <v>7.558316086912325</v>
      </c>
      <c r="D5" s="31">
        <v>7.925119937172805</v>
      </c>
      <c r="E5" s="31">
        <v>8.427717137079984</v>
      </c>
      <c r="F5" s="31">
        <v>9.175266327828934</v>
      </c>
    </row>
    <row r="6" spans="1:6" x14ac:dyDescent="0.25">
      <c r="A6" s="30">
        <v>0.06366</v>
      </c>
      <c r="B6" s="31">
        <v>4.820268334295361</v>
      </c>
      <c r="C6" s="31">
        <v>4.861466951970181</v>
      </c>
      <c r="D6" s="31">
        <v>4.902665569644993</v>
      </c>
      <c r="E6" s="31">
        <v>4.943864187319809</v>
      </c>
      <c r="F6" s="31">
        <v>4.985062804994624</v>
      </c>
    </row>
    <row r="7" spans="1:6" x14ac:dyDescent="0.25">
      <c r="A7" s="30">
        <v>0.07366</v>
      </c>
      <c r="B7" s="31">
        <v>3.3549587318538197</v>
      </c>
      <c r="C7" s="31">
        <v>3.389096082052522</v>
      </c>
      <c r="D7" s="32">
        <v>3.4232334322512217</v>
      </c>
      <c r="E7" s="31">
        <v>3.4573707824499214</v>
      </c>
      <c r="F7" s="31">
        <v>3.4915081326486237</v>
      </c>
    </row>
    <row r="8" spans="1:6" x14ac:dyDescent="0.25">
      <c r="A8" s="30">
        <v>0.08366</v>
      </c>
      <c r="B8" s="31">
        <v>2.246655924445493</v>
      </c>
      <c r="C8" s="31">
        <v>2.275484650324486</v>
      </c>
      <c r="D8" s="31">
        <v>2.3043133762034738</v>
      </c>
      <c r="E8" s="31">
        <v>2.3331421020824648</v>
      </c>
      <c r="F8" s="31">
        <v>2.3619708279614557</v>
      </c>
    </row>
    <row r="9" spans="1:6" x14ac:dyDescent="0.25">
      <c r="A9" s="30">
        <v>0.09366</v>
      </c>
      <c r="B9" s="31">
        <v>1.3806532001407104</v>
      </c>
      <c r="C9" s="31">
        <v>1.4053611875577798</v>
      </c>
      <c r="D9" s="31">
        <v>1.430069174974848</v>
      </c>
      <c r="E9" s="31">
        <v>1.454777162391919</v>
      </c>
      <c r="F9" s="31">
        <v>1.47948514980899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13590000000</v>
      </c>
      <c r="C5" s="18">
        <v>13840000000</v>
      </c>
      <c r="D5" s="18">
        <v>13122000000</v>
      </c>
      <c r="E5" s="18">
        <v>13869000000</v>
      </c>
      <c r="F5" s="8" t="s">
        <v>84</v>
      </c>
    </row>
    <row r="6" spans="1:6" x14ac:dyDescent="0.25">
      <c r="A6" t="s">
        <v>44</v>
      </c>
      <c r="B6" s="18">
        <v>1310000000</v>
      </c>
      <c r="C6" s="18">
        <v>29000000</v>
      </c>
      <c r="D6" s="18">
        <v>992000000</v>
      </c>
      <c r="E6" s="18">
        <v>325000000</v>
      </c>
      <c r="F6" s="8" t="s">
        <v>85</v>
      </c>
    </row>
    <row r="7" spans="1:6" x14ac:dyDescent="0.25">
      <c r="A7" t="s">
        <v>86</v>
      </c>
      <c r="B7" s="18">
        <v>837000000</v>
      </c>
      <c r="C7" s="18">
        <v>803000000</v>
      </c>
      <c r="D7" s="18">
        <v>747000000</v>
      </c>
      <c r="E7" s="18">
        <v>728000000</v>
      </c>
      <c r="F7" s="8" t="s">
        <v>87</v>
      </c>
    </row>
    <row r="8" spans="1:6" x14ac:dyDescent="0.25">
      <c r="A8" t="s">
        <v>88</v>
      </c>
      <c r="B8" s="18">
        <v>1438000000</v>
      </c>
      <c r="C8" s="18">
        <v>1125000000</v>
      </c>
      <c r="D8" s="18">
        <v>838000000</v>
      </c>
      <c r="E8" s="18">
        <v>624000000</v>
      </c>
      <c r="F8" s="8" t="s">
        <v>89</v>
      </c>
    </row>
    <row r="9" spans="1:6" x14ac:dyDescent="0.25">
      <c r="A9" t="s">
        <v>90</v>
      </c>
      <c r="B9" s="18">
        <v>184000000</v>
      </c>
      <c r="C9" s="18">
        <v>-168000000</v>
      </c>
      <c r="D9" s="18">
        <v>169000000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4034000000</v>
      </c>
      <c r="C10" s="18">
        <v>3307000000</v>
      </c>
      <c r="D10" s="18">
        <v>2728000000</v>
      </c>
      <c r="E10" s="18">
        <v>2883000000</v>
      </c>
      <c r="F10" s="8" t="s">
        <v>93</v>
      </c>
    </row>
    <row r="11" spans="1:6" x14ac:dyDescent="0.25">
      <c r="A11" t="s">
        <v>94</v>
      </c>
      <c r="B11" s="18">
        <v>661000000</v>
      </c>
      <c r="C11" s="18">
        <v>332000000</v>
      </c>
      <c r="D11" s="18">
        <v>971000000</v>
      </c>
      <c r="E11" s="18">
        <v>154000000</v>
      </c>
      <c r="F11" s="8" t="s">
        <v>95</v>
      </c>
    </row>
    <row r="12" spans="1:6" x14ac:dyDescent="0.25">
      <c r="A12" t="s">
        <v>32</v>
      </c>
      <c r="B12" s="34">
        <v>673796791</v>
      </c>
      <c r="C12" s="34">
        <v>672747233</v>
      </c>
      <c r="D12" s="34">
        <v>674573055</v>
      </c>
      <c r="E12" s="34">
        <v>672747233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2026-09-19T01:05:46Z</dcterms:modified>
</cp:coreProperties>
</file>