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<sst xmlns="http://schemas.openxmlformats.org/spreadsheetml/2006/main" count="118" uniqueCount="106">
  <si>
    <t>Aegon Ltd. (AGN.AS)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</si>
  <si>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</si>
  <si>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</si>
  <si>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</si>
  <si>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</si>
  <si>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</si>
  <si>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</si>
  <si>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</si>
  <si>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</si>
  <si>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</si>
  <si>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</si>
  <si>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</si>
  <si>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</si>
  <si>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</si>
  <si>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</si>
  <si>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</si>
  <si>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</si>
  <si>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</si>
  <si>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</si>
  <si>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</si>
  <si>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</si>
  <si>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</si>
  <si>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</si>
  <si>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</si>
  <si>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</si>
  <si>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</si>
  <si>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</si>
  <si>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</si>
  <si>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</si>
  <si>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</si>
  <si>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</si>
  <si>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</si>
  <si>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</si>
  <si>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</si>
  <si>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</si>
  <si>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</si>
  <si>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</si>
  <si>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</si>
  <si>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</si>
  <si>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</si>
  <si>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</si>
  <si>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</si>
  <si>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</si>
  <si>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</si>
  <si>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</si>
  <si>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</si>
  <si>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</si>
  <si>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</si>
  <si>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</si>
  <si>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</si>
  <si>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</si>
  <si>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</si>
  <si>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</si>
  <si>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</si>
  <si>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</si>
  <si>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</si>
  <si>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</si>
  <si>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</si>
  <si>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</si>
  <si>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</si>
  <si>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</si>
  <si>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</si>
  <si>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</si>
  <si>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</si>
  <si>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</si>
  <si>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</si>
  <si>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</si>
  <si>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</si>
  <si>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</si>
  <si>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</si>
  <si>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</si>
  <si>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</si>
  <si>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</si>
  <si>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</si>
  <si>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</si>
  <si>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</si>
  <si>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</si>
  <si>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</si>
  <si>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</si>
  <si>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</si>
  <si>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</si>
  <si>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</si>
  <si>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</si>
  <si>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</si>
  <si>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</si>
  <si>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</si>
  <si>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</si>
  <si>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</si>
  <si>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</si>
  <si>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</si>
  <si>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</si>
  <si>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</si>
  <si>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</si>
  <si>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</si>
  <si>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</si>
  <si>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</si>
  <si>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</si>
  <si>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</si>
  <si>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3 year(s) of history available to anchor assumptions on.</t>
  </si>
  <si>
    <t>Adjusted: Consensus rests on as few as 1 analyst estimate(s).</t>
  </si>
  <si>
    <t>Adjusted: Reported capital expenditure averages just 0.37%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</si>
  <si>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</si>
  <si>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-0.5%.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</si>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</sst>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0.15734590390444803</v>
      </c>
    </row>
    <row r="7" spans="1:2" x14ac:dyDescent="0.25">
      <c r="A7" t="s">
        <v>5</v>
      </c>
      <c r="B7" s="6">
        <v>0.017739145814742906</v>
      </c>
    </row>
    <row r="8" spans="1:2" x14ac:dyDescent="0.25">
      <c r="A8" t="s">
        <v>6</v>
      </c>
      <c r="B8" s="6">
        <v>0.06220095693779904</v>
      </c>
    </row>
    <row r="9" spans="1:2" x14ac:dyDescent="0.25">
      <c r="A9" t="s">
        <v>7</v>
      </c>
      <c r="B9" s="6">
        <v>-0.005310645916540309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0.07803709381046699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0.7440599999999999</v>
      </c>
      <c r="C19" s="8" t="s">
        <v>19</v>
      </c>
    </row>
    <row r="20" spans="1:2" x14ac:dyDescent="0.25">
      <c r="A20" t="s">
        <v>20</v>
      </c>
      <c r="B20" s="10">
        <f>B17+B19*B18</f>
        <v>0.0903639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11691926528</v>
      </c>
    </row>
    <row r="23" spans="1:2" x14ac:dyDescent="0.25">
      <c r="A23" t="s">
        <v>24</v>
      </c>
      <c r="B23" s="11">
        <v>3729000000</v>
      </c>
    </row>
    <row r="24" spans="1:2" x14ac:dyDescent="0.25">
      <c r="A24" t="s">
        <v>25</v>
      </c>
      <c r="B24" s="10">
        <f>B22/(B22+B23)</f>
        <v>0.7581857359070351</v>
      </c>
    </row>
    <row r="25" spans="1:2" x14ac:dyDescent="0.25">
      <c r="A25" t="s">
        <v>26</v>
      </c>
      <c r="B25" s="10">
        <f>1-B24</f>
        <v>0.24181426409296491</v>
      </c>
    </row>
    <row r="26" spans="1:2" x14ac:dyDescent="0.25">
      <c r="A26" t="s">
        <v>27</v>
      </c>
      <c r="B26" s="12">
        <f>B24*B20+B25*B21*(1-B8)</f>
        <v>0.07803709381046699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26864000000</v>
      </c>
      <c r="C29" s="8" t="s">
        <v>30</v>
      </c>
    </row>
    <row r="30" spans="1:2" x14ac:dyDescent="0.25">
      <c r="A30" t="s">
        <v>31</v>
      </c>
      <c r="B30" s="11">
        <v>-48761000000</v>
      </c>
    </row>
    <row r="31" spans="1:2" x14ac:dyDescent="0.25">
      <c r="A31" t="s">
        <v>32</v>
      </c>
      <c r="B31" s="13">
        <v>1898000000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0.15734590390444803</v>
      </c>
      <c r="C5" s="10">
        <f>Assumptions!B6</f>
        <v>0.15734590390444803</v>
      </c>
      <c r="D5" s="10">
        <f>Assumptions!B6</f>
        <v>0.15734590390444803</v>
      </c>
      <c r="E5" s="10">
        <f>Assumptions!B6</f>
        <v>0.15734590390444803</v>
      </c>
      <c r="F5" s="10">
        <f>Assumptions!B6</f>
        <v>0.15734590390444803</v>
      </c>
    </row>
    <row r="6" spans="1:6" x14ac:dyDescent="0.25">
      <c r="A6" t="s">
        <v>43</v>
      </c>
      <c r="B6" s="18">
        <f>Assumptions!B29*(1+B5)</f>
        <v>31090940362.48909</v>
      </c>
      <c r="C6" s="18">
        <f>B6*(1+C5)</f>
        <v>35982972477.064224</v>
      </c>
      <c r="D6" s="18">
        <f>C6*(1+D5)</f>
        <v>41644745806.63677</v>
      </c>
      <c r="E6" s="18">
        <f>D6*(1+E5)</f>
        <v>48197375978.453</v>
      </c>
      <c r="F6" s="18">
        <f>E6*(1+F5)</f>
        <v>55781035667.60522</v>
      </c>
    </row>
    <row r="7" spans="1:6" x14ac:dyDescent="0.25">
      <c r="A7" t="s">
        <v>5</v>
      </c>
      <c r="B7" s="10">
        <f>Assumptions!B7</f>
        <v>0.017739145814742906</v>
      </c>
      <c r="C7" s="10">
        <f>Assumptions!B7</f>
        <v>0.017739145814742906</v>
      </c>
      <c r="D7" s="10">
        <f>Assumptions!B7</f>
        <v>0.017739145814742906</v>
      </c>
      <c r="E7" s="10">
        <f>Assumptions!B7</f>
        <v>0.017739145814742906</v>
      </c>
      <c r="F7" s="10">
        <f>Assumptions!B7</f>
        <v>0.017739145814742906</v>
      </c>
    </row>
    <row r="8" spans="1:6" x14ac:dyDescent="0.25">
      <c r="A8" t="s">
        <v>44</v>
      </c>
      <c r="B8" s="18">
        <f>B6*B7</f>
        <v>551526724.6076696</v>
      </c>
      <c r="C8" s="18">
        <f>C6*C7</f>
        <v>638307195.618523</v>
      </c>
      <c r="D8" s="18">
        <f>D6*D7</f>
        <v>738742218.2818329</v>
      </c>
      <c r="E8" s="18">
        <f>E6*E7</f>
        <v>854980280.3697649</v>
      </c>
      <c r="F8" s="18">
        <f>F6*F7</f>
        <v>989507925.4050238</v>
      </c>
    </row>
    <row r="9" spans="1:6" x14ac:dyDescent="0.25">
      <c r="A9" t="s">
        <v>45</v>
      </c>
      <c r="B9" s="18">
        <f>B8*(1-Assumptions!B8)</f>
        <v>517221234.5603026</v>
      </c>
      <c r="C9" s="18">
        <f>C8*(1-Assumptions!B8)</f>
        <v>598603877.230768</v>
      </c>
      <c r="D9" s="18">
        <f>D8*(1-Assumptions!B8)</f>
        <v>692791745.3743505</v>
      </c>
      <c r="E9" s="18">
        <f>E8*(1-Assumptions!B8)</f>
        <v>801799688.7678179</v>
      </c>
      <c r="F9" s="18">
        <f>F8*(1-Assumptions!B8)</f>
        <v>927959585.5472951</v>
      </c>
    </row>
    <row r="10" spans="1:6" x14ac:dyDescent="0.25">
      <c r="A10" t="s">
        <v>46</v>
      </c>
      <c r="B10" s="18">
        <f>B6*Assumptions!B9</f>
        <v>-165112975.47745097</v>
      </c>
      <c r="C10" s="18">
        <f>C6*Assumptions!B9</f>
        <v>-191092825.85030344</v>
      </c>
      <c r="D10" s="18">
        <f>D6*Assumptions!B9</f>
        <v>-221160499.26337475</v>
      </c>
      <c r="E10" s="18">
        <f>E6*Assumptions!B9</f>
        <v>-255959197.92792943</v>
      </c>
      <c r="F10" s="18">
        <f>F6*Assumptions!B9</f>
        <v>-296233329.288557</v>
      </c>
    </row>
    <row r="11" spans="1:6" x14ac:dyDescent="0.25">
      <c r="A11" t="s">
        <v>47</v>
      </c>
      <c r="B11" s="18">
        <f>-B6*Assumptions!B10</f>
        <v>-310909403.6248909</v>
      </c>
      <c r="C11" s="18">
        <f>-C6*Assumptions!B10</f>
        <v>-359829724.7706422</v>
      </c>
      <c r="D11" s="18">
        <f>-D6*Assumptions!B10</f>
        <v>-416447458.06636775</v>
      </c>
      <c r="E11" s="18">
        <f>-E6*Assumptions!B10</f>
        <v>-481973759.78453004</v>
      </c>
      <c r="F11" s="18">
        <f>-F6*Assumptions!B10</f>
        <v>-557810356.6760522</v>
      </c>
    </row>
    <row r="12" spans="1:6" x14ac:dyDescent="0.25">
      <c r="A12" t="s">
        <v>48</v>
      </c>
      <c r="B12" s="18">
        <f>-(B6-Assumptions!B29)*Assumptions!B11</f>
        <v>-4226940362.48909</v>
      </c>
      <c r="C12" s="18">
        <f>-(C6-B6)*Assumptions!B11</f>
        <v>-4892032114.575134</v>
      </c>
      <c r="D12" s="18">
        <f>-(D6-C6)*Assumptions!B11</f>
        <v>-5661773329.572548</v>
      </c>
      <c r="E12" s="18">
        <f>-(E6-D6)*Assumptions!B11</f>
        <v>-6552630171.816231</v>
      </c>
      <c r="F12" s="18">
        <f>-(F6-E6)*Assumptions!B11</f>
        <v>-7583659689.152214</v>
      </c>
    </row>
    <row r="13" spans="1:6" x14ac:dyDescent="0.25">
      <c r="A13" s="19" t="s">
        <v>49</v>
      </c>
      <c r="B13" s="20">
        <f>B9+B10+B11+B12</f>
        <v>-4185741507.0311294</v>
      </c>
      <c r="C13" s="20">
        <f>C9+C10+C11+C12</f>
        <v>-4844350787.965312</v>
      </c>
      <c r="D13" s="20">
        <f>D9+D10+D11+D12</f>
        <v>-5606589541.52794</v>
      </c>
      <c r="E13" s="20">
        <f>E9+E10+E11+E12</f>
        <v>-6488763440.760872</v>
      </c>
      <c r="F13" s="20">
        <f>F9+F10+F11+F12</f>
        <v>-7509743789.569529</v>
      </c>
    </row>
    <row r="14" spans="1:6" x14ac:dyDescent="0.25">
      <c r="A14" t="s">
        <v>50</v>
      </c>
      <c r="B14" s="21">
        <f>1/(1+Assumptions!$B$26)^(1-0.5*Assumptions!$B$32)</f>
        <v>0.9631260902956692</v>
      </c>
      <c r="C14" s="21">
        <f>1/(1+Assumptions!$B$26)^(2-0.5*Assumptions!$B$32)</f>
        <v>0.8934071896277431</v>
      </c>
      <c r="D14" s="21">
        <f>1/(1+Assumptions!$B$26)^(3-0.5*Assumptions!$B$32)</f>
        <v>0.8287351100970703</v>
      </c>
      <c r="E14" s="21">
        <f>1/(1+Assumptions!$B$26)^(4-0.5*Assumptions!$B$32)</f>
        <v>0.7687445217379252</v>
      </c>
      <c r="F14" s="21">
        <f>1/(1+Assumptions!$B$26)^(5-0.5*Assumptions!$B$32)</f>
        <v>0.7130965401391657</v>
      </c>
    </row>
    <row r="15" spans="1:6" x14ac:dyDescent="0.25">
      <c r="A15" s="19" t="s">
        <v>51</v>
      </c>
      <c r="B15" s="20">
        <f>B13*B14</f>
        <v>-4031396852.655194</v>
      </c>
      <c r="C15" s="20">
        <f>C13*C14</f>
        <v>-4327977823.047032</v>
      </c>
      <c r="D15" s="20">
        <f>D13*D14</f>
        <v>-4646377600.96724</v>
      </c>
      <c r="E15" s="20">
        <f>E13*E14</f>
        <v>-4988201347.938251</v>
      </c>
      <c r="F15" s="20">
        <f>F13*F14</f>
        <v>-5355172313.673617</v>
      </c>
    </row>
    <row r="17" spans="1:2" x14ac:dyDescent="0.25">
      <c r="A17" s="22" t="s">
        <v>52</v>
      </c>
      <c r="B17" s="23">
        <f>SUM(B15:F15)</f>
        <v>-23349125938.281338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-7509743789.569529</v>
      </c>
    </row>
    <row r="5" spans="1:2" x14ac:dyDescent="0.25">
      <c r="A5" t="s">
        <v>56</v>
      </c>
      <c r="B5" s="18">
        <f>IF(Assumptions!$B$33=0,B4,B4-Forecast!F11-Forecast!F10-Forecast!F12)</f>
        <v>927959585.5472951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0.3203604693521633</v>
      </c>
    </row>
    <row r="7" spans="1:2" x14ac:dyDescent="0.25">
      <c r="A7" t="s">
        <v>58</v>
      </c>
      <c r="B7" s="18">
        <f>-MAX(Forecast!F9,0)*B6</f>
        <v>-297281568.36577034</v>
      </c>
    </row>
    <row r="8" spans="1:2" x14ac:dyDescent="0.25">
      <c r="A8" t="s">
        <v>59</v>
      </c>
      <c r="B8" s="18">
        <f>IF(OR(Assumptions!$B$33=0,Assumptions!B12&lt;=0),B5,MAX(B5+B7,0))</f>
        <v>630678017.1815248</v>
      </c>
    </row>
    <row r="9" spans="1:2" x14ac:dyDescent="0.25">
      <c r="A9" t="s">
        <v>60</v>
      </c>
      <c r="B9" s="18">
        <f>B8*(1+Assumptions!B12)/(Assumptions!B26-Assumptions!B12)</f>
        <v>12188544302.996584</v>
      </c>
    </row>
    <row r="10" spans="1:2" x14ac:dyDescent="0.25">
      <c r="A10" t="s">
        <v>61</v>
      </c>
      <c r="B10" s="18">
        <f>B9/(1+Assumptions!B26)^(5-0.5*Assumptions!B32)</f>
        <v>8691608771.799803</v>
      </c>
    </row>
    <row r="11" spans="1:2" x14ac:dyDescent="0.25">
      <c r="A11" t="s">
        <v>62</v>
      </c>
      <c r="B11" s="18">
        <f>Forecast!B17+B10</f>
        <v>-14657517166.481535</v>
      </c>
    </row>
    <row r="12" spans="1:2" x14ac:dyDescent="0.25">
      <c r="A12" t="s">
        <v>63</v>
      </c>
      <c r="B12" s="18">
        <f>-Assumptions!B30</f>
        <v>48761000000</v>
      </c>
    </row>
    <row r="13" spans="1:2" x14ac:dyDescent="0.25">
      <c r="A13" t="s">
        <v>64</v>
      </c>
      <c r="B13" s="18">
        <f>B11+B12</f>
        <v>34103482833.518463</v>
      </c>
    </row>
    <row r="14" spans="1:2" x14ac:dyDescent="0.25">
      <c r="A14" s="19" t="s">
        <v>65</v>
      </c>
      <c r="B14" s="24">
        <f>B13/Assumptions!B31</f>
        <v>17.968115296901193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693274596.1164668</v>
      </c>
    </row>
    <row r="18" spans="1:2" x14ac:dyDescent="0.25">
      <c r="A18" t="s">
        <v>60</v>
      </c>
      <c r="B18" s="18">
        <f>B17*Assumptions!B13</f>
        <v>5546196768.931734</v>
      </c>
    </row>
    <row r="19" spans="1:2" x14ac:dyDescent="0.25">
      <c r="A19" t="s">
        <v>61</v>
      </c>
      <c r="B19" s="18">
        <f>B18/(1+Assumptions!B26)^(5-0.5*Assumptions!B32)</f>
        <v>3954973726.8562393</v>
      </c>
    </row>
    <row r="20" spans="1:2" x14ac:dyDescent="0.25">
      <c r="A20" t="s">
        <v>62</v>
      </c>
      <c r="B20" s="18">
        <f>Forecast!B17+B19</f>
        <v>-19394152211.4251</v>
      </c>
    </row>
    <row r="21" spans="1:2" x14ac:dyDescent="0.25">
      <c r="A21" t="s">
        <v>63</v>
      </c>
      <c r="B21" s="18">
        <f>-Assumptions!B30</f>
        <v>48761000000</v>
      </c>
    </row>
    <row r="22" spans="1:2" x14ac:dyDescent="0.25">
      <c r="A22" t="s">
        <v>64</v>
      </c>
      <c r="B22" s="18">
        <f>B20+B21</f>
        <v>29366847788.5749</v>
      </c>
    </row>
    <row r="23" spans="1:2" x14ac:dyDescent="0.25">
      <c r="A23" s="19" t="s">
        <v>65</v>
      </c>
      <c r="B23" s="25">
        <f>B22/Assumptions!B31</f>
        <v>15.472522544033142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17.968115296901193</v>
      </c>
    </row>
    <row r="29" spans="1:2" x14ac:dyDescent="0.25">
      <c r="A29" s="19" t="s">
        <v>73</v>
      </c>
      <c r="B29" s="12">
        <f>B28/B26-1</f>
        <v>1.2744449742912902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0.058037</v>
      </c>
      <c r="B5" s="31">
        <v>19.469159090003348</v>
      </c>
      <c r="C5" s="31">
        <v>19.540697846980024</v>
      </c>
      <c r="D5" s="31">
        <v>19.624321841594416</v>
      </c>
      <c r="E5" s="31">
        <v>19.726496764347136</v>
      </c>
      <c r="F5" s="31">
        <v>19.859301615198024</v>
      </c>
    </row>
    <row r="6" spans="1:6" x14ac:dyDescent="0.25">
      <c r="A6" s="30">
        <v>0.068037</v>
      </c>
      <c r="B6" s="31">
        <v>18.50500227562076</v>
      </c>
      <c r="C6" s="31">
        <v>18.531721223993483</v>
      </c>
      <c r="D6" s="31">
        <v>18.558440172366204</v>
      </c>
      <c r="E6" s="31">
        <v>18.585159120738926</v>
      </c>
      <c r="F6" s="31">
        <v>18.61187806911165</v>
      </c>
    </row>
    <row r="7" spans="1:6" x14ac:dyDescent="0.25">
      <c r="A7" s="30">
        <v>0.078037</v>
      </c>
      <c r="B7" s="31">
        <v>17.923443097880583</v>
      </c>
      <c r="C7" s="31">
        <v>17.94578143251722</v>
      </c>
      <c r="D7" s="32">
        <v>17.968119767153848</v>
      </c>
      <c r="E7" s="31">
        <v>17.990458101790477</v>
      </c>
      <c r="F7" s="31">
        <v>18.01279643642711</v>
      </c>
    </row>
    <row r="8" spans="1:6" x14ac:dyDescent="0.25">
      <c r="A8" s="30">
        <v>0.088037</v>
      </c>
      <c r="B8" s="31">
        <v>17.540177946742887</v>
      </c>
      <c r="C8" s="31">
        <v>17.559173027059472</v>
      </c>
      <c r="D8" s="31">
        <v>17.578168107376055</v>
      </c>
      <c r="E8" s="31">
        <v>17.597163187692637</v>
      </c>
      <c r="F8" s="31">
        <v>17.616158268009222</v>
      </c>
    </row>
    <row r="9" spans="1:6" x14ac:dyDescent="0.25">
      <c r="A9" s="30">
        <v>0.098037</v>
      </c>
      <c r="B9" s="31">
        <v>17.29094684675908</v>
      </c>
      <c r="C9" s="31">
        <v>17.307316386171472</v>
      </c>
      <c r="D9" s="31">
        <v>17.323685925583863</v>
      </c>
      <c r="E9" s="31">
        <v>17.340055464996258</v>
      </c>
      <c r="F9" s="31">
        <v>17.35642500440865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26864000000</v>
      </c>
      <c r="C5" s="18">
        <v>19519000000</v>
      </c>
      <c r="D5" s="18">
        <v>20056000000</v>
      </c>
      <c r="E5" s="8" t="s">
        <v>83</v>
      </c>
    </row>
    <row r="6" spans="1:5" x14ac:dyDescent="0.25">
      <c r="A6" t="s">
        <v>44</v>
      </c>
      <c r="B6" s="18">
        <v>1045000000</v>
      </c>
      <c r="C6" s="18">
        <v>660000000</v>
      </c>
      <c r="D6" s="18">
        <v>-391000000</v>
      </c>
      <c r="E6" s="8" t="s">
        <v>84</v>
      </c>
    </row>
    <row r="7" spans="1:5" x14ac:dyDescent="0.25">
      <c r="A7" t="s">
        <v>85</v>
      </c>
      <c r="B7" s="18">
        <v>-167000000</v>
      </c>
      <c r="C7" s="18">
        <v>-31000000</v>
      </c>
      <c r="D7" s="18">
        <v>-163000000</v>
      </c>
      <c r="E7" s="8" t="s">
        <v>86</v>
      </c>
    </row>
    <row r="8" spans="1:5" x14ac:dyDescent="0.25">
      <c r="A8" t="s">
        <v>87</v>
      </c>
      <c r="B8" s="18">
        <v>54000000</v>
      </c>
      <c r="C8" s="18">
        <v>66000000</v>
      </c>
      <c r="D8" s="18">
        <v>116000000</v>
      </c>
      <c r="E8" s="8" t="s">
        <v>88</v>
      </c>
    </row>
    <row r="9" spans="1:5" x14ac:dyDescent="0.25">
      <c r="A9" t="s">
        <v>89</v>
      </c>
      <c r="B9" s="18">
        <v>-13705000000</v>
      </c>
      <c r="C9" s="18">
        <v>-10821000000</v>
      </c>
      <c r="D9" s="18">
        <v>-12217000000</v>
      </c>
      <c r="E9" s="8" t="s">
        <v>90</v>
      </c>
    </row>
    <row r="10" spans="1:5" x14ac:dyDescent="0.25">
      <c r="A10" t="s">
        <v>91</v>
      </c>
      <c r="B10" s="18">
        <v>3729000000</v>
      </c>
      <c r="C10" s="18">
        <v>4995000000</v>
      </c>
      <c r="D10" s="18">
        <v>4917000000</v>
      </c>
      <c r="E10" s="8" t="s">
        <v>92</v>
      </c>
    </row>
    <row r="11" spans="1:5" x14ac:dyDescent="0.25">
      <c r="A11" t="s">
        <v>93</v>
      </c>
      <c r="B11" s="18">
        <v>52490000000</v>
      </c>
      <c r="C11" s="18">
        <v>58184000000</v>
      </c>
      <c r="D11" s="18">
        <v>54438000000</v>
      </c>
      <c r="E11" s="8" t="s">
        <v>94</v>
      </c>
    </row>
    <row r="12" spans="1:5" x14ac:dyDescent="0.25">
      <c r="A12" t="s">
        <v>32</v>
      </c>
      <c r="B12" s="34">
        <v>1898000000</v>
      </c>
      <c r="C12" s="34">
        <v>2010000000</v>
      </c>
      <c r="D12" s="34">
        <v>2369000000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86" customHeight="1" spans="1:5" x14ac:dyDescent="0.25">
      <c r="A19" s="35" t="s">
        <v>100</v>
      </c>
      <c r="B19" s="35"/>
      <c r="C19" s="35"/>
      <c r="D19" s="35"/>
      <c r="E19" s="35"/>
    </row>
    <row r="20" ht="22" customHeight="1" spans="1:5" x14ac:dyDescent="0.25">
      <c r="A20" s="35" t="s">
        <v>101</v>
      </c>
      <c r="B20" s="35"/>
      <c r="C20" s="35"/>
      <c r="D20" s="35"/>
      <c r="E20" s="35"/>
    </row>
    <row r="21" ht="54" customHeight="1" spans="1:5" x14ac:dyDescent="0.25">
      <c r="A21" s="35" t="s">
        <v>102</v>
      </c>
      <c r="B21" s="35"/>
      <c r="C21" s="35"/>
      <c r="D21" s="35"/>
      <c r="E21" s="35"/>
    </row>
    <row r="22" ht="22" customHeight="1" spans="1:5" x14ac:dyDescent="0.25">
      <c r="A22" s="35" t="s">
        <v>103</v>
      </c>
      <c r="B22" s="35"/>
      <c r="C22" s="35"/>
      <c r="D22" s="35"/>
      <c r="E22" s="35"/>
    </row>
    <row r="23" ht="22" customHeight="1" spans="1:5" x14ac:dyDescent="0.25">
      <c r="A23" s="35" t="s">
        <v>104</v>
      </c>
      <c r="B23" s="35"/>
      <c r="C23" s="35"/>
      <c r="D23" s="35"/>
      <c r="E23" s="35"/>
    </row>
    <row r="25" spans="1:1" x14ac:dyDescent="0.25">
      <c r="A25" s="36" t="s">
        <v>105</v>
      </c>
    </row>
  </sheetData>
  <mergeCells count="8">
    <mergeCell ref="A16:E16"/>
    <mergeCell ref="A17:E17"/>
    <mergeCell ref="A18:E18"/>
    <mergeCell ref="A19:E19"/>
    <mergeCell ref="A20:E20"/>
    <mergeCell ref="A21:E21"/>
    <mergeCell ref="A22:E22"/>
    <mergeCell ref="A23:E2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