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<sst xmlns="http://schemas.openxmlformats.org/spreadsheetml/2006/main" count="117" uniqueCount="105">
  <si>
    <t>Auckland International Airport Limited (AIA.AX)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</si>
  <si>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</si>
  <si>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</si>
  <si>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</si>
  <si>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</si>
  <si>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</si>
  <si>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</si>
  <si>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</si>
  <si>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</si>
  <si>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</si>
  <si>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</si>
  <si>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</si>
  <si>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</si>
  <si>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</si>
  <si>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</si>
  <si>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</si>
  <si>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</si>
  <si>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</si>
  <si>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</si>
  <si>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</si>
  <si>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</si>
  <si>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</si>
  <si>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</si>
  <si>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</si>
  <si>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</si>
  <si>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</si>
  <si>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</si>
  <si>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</si>
  <si>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</si>
  <si>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</si>
  <si>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2026-06-30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</si>
  <si>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</si>
  <si>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</si>
  <si>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</si>
  <si>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</si>
  <si>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</si>
  <si>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</si>
  <si>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</si>
  <si>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</si>
  <si>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</si>
  <si>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</si>
  <si>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</si>
  <si>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</si>
  <si>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</si>
  <si>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</si>
  <si>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</si>
  <si>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</si>
  <si>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</si>
  <si>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</si>
  <si>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</si>
  <si>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</si>
  <si>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</si>
  <si>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</si>
  <si>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</si>
  <si>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</si>
  <si>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</si>
  <si>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</si>
  <si>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</si>
  <si>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</si>
  <si>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</si>
  <si>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</si>
  <si>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</si>
  <si>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</si>
  <si>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</si>
  <si>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</si>
  <si>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</si>
  <si>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</si>
  <si>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</si>
  <si>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</si>
  <si>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</si>
  <si>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NZD to AUD</t>
  </si>
  <si>
    <t>NZD/AUD at 0.8033</t>
  </si>
  <si>
    <t>Value per share (AUD)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</si>
  <si>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</si>
  <si>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</si>
  <si>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</si>
  <si>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</si>
  <si>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</si>
  <si>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</si>
  <si>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</si>
  <si>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</si>
  <si>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</si>
  <si>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</si>
  <si>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</si>
  <si>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</si>
  <si>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</si>
  <si>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</si>
  <si>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</si>
  <si>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</si>
  <si>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</si>
  <si>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</si>
  <si>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</si>
  <si>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</si>
  <si>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</si>
  <si>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</si>
  <si>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</si>
  <si>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</si>
  <si>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</si>
  <si>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7.2%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</si>
  <si>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Some line items were not reported and have been derived. Each one is labelled in the workings below.</t>
  </si>
  <si>
    <t>Adjusted: Reports in NZD, trades in AUD. Modelled in NZD, converted at the end.</t>
  </si>
  <si>
    <t>Adjusted: Free cashflow is negative in at least one forecast year, so terminal value carries most of the valuation.</t>
  </si>
  <si>
    <t>Adjusted: Capital expenditure runs at 93.6% of revenue against depreciation of 22.8%. A perpetuity has to be a steady state, so the terminal year uses maintenance capex at depreciation and then charges the reinvestment terminal growth requires (g/ROIC of NOPAT). The bridge is shown under Terminal Value.</t>
  </si>
  <si>
    <t>Current EV/EBITDA of 21.2x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</si>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</sst>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0.17757064380950016</v>
      </c>
    </row>
    <row r="7" spans="1:2" x14ac:dyDescent="0.25">
      <c r="A7" t="s">
        <v>5</v>
      </c>
      <c r="B7" s="6">
        <v>0.43678704704548427</v>
      </c>
    </row>
    <row r="8" spans="1:2" x14ac:dyDescent="0.25">
      <c r="A8" t="s">
        <v>6</v>
      </c>
      <c r="B8" s="6">
        <v>0.24929728737720838</v>
      </c>
    </row>
    <row r="9" spans="1:2" x14ac:dyDescent="0.25">
      <c r="A9" t="s">
        <v>7</v>
      </c>
      <c r="B9" s="6">
        <v>0.228328101895073</v>
      </c>
    </row>
    <row r="10" spans="1:2" x14ac:dyDescent="0.25">
      <c r="A10" t="s">
        <v>8</v>
      </c>
      <c r="B10" s="6">
        <v>0.935983198899254</v>
      </c>
    </row>
    <row r="11" spans="1:2" x14ac:dyDescent="0.25">
      <c r="A11" t="s">
        <v>9</v>
      </c>
      <c r="B11" s="6">
        <v>-0.018752547900529964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0.08301673642789684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0.66701</v>
      </c>
      <c r="C19" s="8" t="s">
        <v>19</v>
      </c>
    </row>
    <row r="20" spans="1:2" x14ac:dyDescent="0.25">
      <c r="A20" t="s">
        <v>20</v>
      </c>
      <c r="B20" s="10">
        <f>B17+B19*B18</f>
        <v>0.09350059999999999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11321791488</v>
      </c>
    </row>
    <row r="23" spans="1:2" x14ac:dyDescent="0.25">
      <c r="A23" t="s">
        <v>24</v>
      </c>
      <c r="B23" s="11">
        <v>2768800000</v>
      </c>
    </row>
    <row r="24" spans="1:2" x14ac:dyDescent="0.25">
      <c r="A24" t="s">
        <v>25</v>
      </c>
      <c r="B24" s="10">
        <f>B22/(B22+B23)</f>
        <v>0.8035000871072021</v>
      </c>
    </row>
    <row r="25" spans="1:2" x14ac:dyDescent="0.25">
      <c r="A25" t="s">
        <v>26</v>
      </c>
      <c r="B25" s="10">
        <f>1-B24</f>
        <v>0.1964999128927979</v>
      </c>
    </row>
    <row r="26" spans="1:2" x14ac:dyDescent="0.25">
      <c r="A26" t="s">
        <v>27</v>
      </c>
      <c r="B26" s="12">
        <f>B24*B20+B25*B21*(1-B8)</f>
        <v>0.08301673642789684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965700000</v>
      </c>
      <c r="C29" s="8" t="s">
        <v>30</v>
      </c>
    </row>
    <row r="30" spans="1:2" x14ac:dyDescent="0.25">
      <c r="A30" t="s">
        <v>31</v>
      </c>
      <c r="B30" s="11">
        <v>2713400000</v>
      </c>
    </row>
    <row r="31" spans="1:2" x14ac:dyDescent="0.25">
      <c r="A31" t="s">
        <v>32</v>
      </c>
      <c r="B31" s="13">
        <v>1694683544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0.17757064380950016</v>
      </c>
      <c r="C5" s="10">
        <f>Assumptions!B6</f>
        <v>0.17757064380950016</v>
      </c>
      <c r="D5" s="10">
        <f>Assumptions!B6</f>
        <v>0.17757064380950016</v>
      </c>
      <c r="E5" s="10">
        <f>Assumptions!B6</f>
        <v>0.17757064380950016</v>
      </c>
      <c r="F5" s="10">
        <f>Assumptions!B6</f>
        <v>0.17757064380950016</v>
      </c>
    </row>
    <row r="6" spans="1:6" x14ac:dyDescent="0.25">
      <c r="A6" t="s">
        <v>43</v>
      </c>
      <c r="B6" s="18">
        <f>Assumptions!B29*(1+B5)</f>
        <v>1137179970.7268343</v>
      </c>
      <c r="C6" s="18">
        <f>B6*(1+C5)</f>
        <v>1339109750.2560668</v>
      </c>
      <c r="D6" s="18">
        <f>C6*(1+D5)</f>
        <v>1576896330.7406156</v>
      </c>
      <c r="E6" s="18">
        <f>D6*(1+E5)</f>
        <v>1856906827.411065</v>
      </c>
      <c r="F6" s="18">
        <f>E6*(1+F5)</f>
        <v>2186638968.2487044</v>
      </c>
    </row>
    <row r="7" spans="1:6" x14ac:dyDescent="0.25">
      <c r="A7" t="s">
        <v>5</v>
      </c>
      <c r="B7" s="10">
        <f>Assumptions!B7</f>
        <v>0.43678704704548427</v>
      </c>
      <c r="C7" s="10">
        <f>Assumptions!B7</f>
        <v>0.43678704704548427</v>
      </c>
      <c r="D7" s="10">
        <f>Assumptions!B7</f>
        <v>0.43678704704548427</v>
      </c>
      <c r="E7" s="10">
        <f>Assumptions!B7</f>
        <v>0.43678704704548427</v>
      </c>
      <c r="F7" s="10">
        <f>Assumptions!B7</f>
        <v>0.43678704704548427</v>
      </c>
    </row>
    <row r="8" spans="1:6" x14ac:dyDescent="0.25">
      <c r="A8" t="s">
        <v>44</v>
      </c>
      <c r="B8" s="18">
        <f>B6*B7</f>
        <v>496705481.3730442</v>
      </c>
      <c r="C8" s="18">
        <f>C6*C7</f>
        <v>584905793.4841633</v>
      </c>
      <c r="D8" s="18">
        <f>D6*D7</f>
        <v>688767891.8010528</v>
      </c>
      <c r="E8" s="18">
        <f>E6*E7</f>
        <v>811072849.7834778</v>
      </c>
      <c r="F8" s="18">
        <f>F6*F7</f>
        <v>955095577.895936</v>
      </c>
    </row>
    <row r="9" spans="1:6" x14ac:dyDescent="0.25">
      <c r="A9" t="s">
        <v>45</v>
      </c>
      <c r="B9" s="18">
        <f>B8*(1-Assumptions!B8)</f>
        <v>372878152.2413538</v>
      </c>
      <c r="C9" s="18">
        <f>C8*(1-Assumptions!B8)</f>
        <v>439090365.7973477</v>
      </c>
      <c r="D9" s="18">
        <f>D8*(1-Assumptions!B8)</f>
        <v>517059924.7425318</v>
      </c>
      <c r="E9" s="18">
        <f>E8*(1-Assumptions!B8)</f>
        <v>608874588.4671547</v>
      </c>
      <c r="F9" s="18">
        <f>F8*(1-Assumptions!B8)</f>
        <v>716992841.140512</v>
      </c>
    </row>
    <row r="10" spans="1:6" x14ac:dyDescent="0.25">
      <c r="A10" t="s">
        <v>46</v>
      </c>
      <c r="B10" s="18">
        <f>B6*Assumptions!B9</f>
        <v>259650144.22915274</v>
      </c>
      <c r="C10" s="18">
        <f>C6*Assumptions!B9</f>
        <v>305756387.50515294</v>
      </c>
      <c r="D10" s="18">
        <f>D6*Assumptions!B9</f>
        <v>360049746.08331</v>
      </c>
      <c r="E10" s="18">
        <f>E6*Assumptions!B9</f>
        <v>423984011.29877037</v>
      </c>
      <c r="F10" s="18">
        <f>F6*Assumptions!B9</f>
        <v>499271125.15002745</v>
      </c>
    </row>
    <row r="11" spans="1:6" x14ac:dyDescent="0.25">
      <c r="A11" t="s">
        <v>47</v>
      </c>
      <c r="B11" s="18">
        <f>-B6*Assumptions!B10</f>
        <v>-1064381346.7250624</v>
      </c>
      <c r="C11" s="18">
        <f>-C6*Assumptions!B10</f>
        <v>-1253384227.7218544</v>
      </c>
      <c r="D11" s="18">
        <f>-D6*Assumptions!B10</f>
        <v>-1475948471.9790974</v>
      </c>
      <c r="E11" s="18">
        <f>-E6*Assumptions!B10</f>
        <v>-1738033592.3780737</v>
      </c>
      <c r="F11" s="18">
        <f>-F6*Assumptions!B10</f>
        <v>-2046657336.3391867</v>
      </c>
    </row>
    <row r="12" spans="1:6" x14ac:dyDescent="0.25">
      <c r="A12" t="s">
        <v>48</v>
      </c>
      <c r="B12" s="18">
        <f>-(B6-Assumptions!B29)*Assumptions!B11</f>
        <v>3215686.3650364364</v>
      </c>
      <c r="C12" s="18">
        <f>-(C6-B6)*Assumptions!B11</f>
        <v>3786697.8631653874</v>
      </c>
      <c r="D12" s="18">
        <f>-(D6-C6)*Assumptions!B11</f>
        <v>4459104.240639725</v>
      </c>
      <c r="E12" s="18">
        <f>-(E6-D6)*Assumptions!B11</f>
        <v>5250910.25146379</v>
      </c>
      <c r="F12" s="18">
        <f>-(F6-E6)*Assumptions!B11</f>
        <v>6183317.765402124</v>
      </c>
    </row>
    <row r="13" spans="1:6" x14ac:dyDescent="0.25">
      <c r="A13" s="19" t="s">
        <v>49</v>
      </c>
      <c r="B13" s="20">
        <f>B9+B10+B11+B12</f>
        <v>-428637363.8895194</v>
      </c>
      <c r="C13" s="20">
        <f>C9+C10+C11+C12</f>
        <v>-504750776.55618834</v>
      </c>
      <c r="D13" s="20">
        <f>D9+D10+D11+D12</f>
        <v>-594379696.9126159</v>
      </c>
      <c r="E13" s="20">
        <f>E9+E10+E11+E12</f>
        <v>-699924082.3606848</v>
      </c>
      <c r="F13" s="20">
        <f>F9+F10+F11+F12</f>
        <v>-824210052.2832451</v>
      </c>
    </row>
    <row r="14" spans="1:6" x14ac:dyDescent="0.25">
      <c r="A14" t="s">
        <v>50</v>
      </c>
      <c r="B14" s="21">
        <f>1/(1+Assumptions!$B$26)^(1-0.5*Assumptions!$B$32)</f>
        <v>0.9609093427478453</v>
      </c>
      <c r="C14" s="21">
        <f>1/(1+Assumptions!$B$26)^(2-0.5*Assumptions!$B$32)</f>
        <v>0.8872525330653734</v>
      </c>
      <c r="D14" s="21">
        <f>1/(1+Assumptions!$B$26)^(3-0.5*Assumptions!$B$32)</f>
        <v>0.8192417561263082</v>
      </c>
      <c r="E14" s="21">
        <f>1/(1+Assumptions!$B$26)^(4-0.5*Assumptions!$B$32)</f>
        <v>0.7564442252558397</v>
      </c>
      <c r="F14" s="21">
        <f>1/(1+Assumptions!$B$26)^(5-0.5*Assumptions!$B$32)</f>
        <v>0.6984603282778546</v>
      </c>
    </row>
    <row r="15" spans="1:6" x14ac:dyDescent="0.25">
      <c r="A15" s="19" t="s">
        <v>51</v>
      </c>
      <c r="B15" s="20">
        <f>B13*B14</f>
        <v>-411881647.6122471</v>
      </c>
      <c r="C15" s="20">
        <f>C13*C14</f>
        <v>-447841405.06619245</v>
      </c>
      <c r="D15" s="20">
        <f>D13*D14</f>
        <v>-486940666.70451427</v>
      </c>
      <c r="E15" s="20">
        <f>E13*E14</f>
        <v>-529453530.2192327</v>
      </c>
      <c r="F15" s="20">
        <f>F13*F14</f>
        <v>-575678023.6876631</v>
      </c>
    </row>
    <row r="17" spans="1:2" x14ac:dyDescent="0.25">
      <c r="A17" s="22" t="s">
        <v>52</v>
      </c>
      <c r="B17" s="23">
        <f>SUM(B15:F15)</f>
        <v>-2451795273.2898498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-824210052.2832451</v>
      </c>
    </row>
    <row r="5" spans="1:2" x14ac:dyDescent="0.25">
      <c r="A5" t="s">
        <v>56</v>
      </c>
      <c r="B5" s="18">
        <f>IF(Assumptions!$B$33=0,B4,B4-Forecast!F11-Forecast!F10-Forecast!F12)</f>
        <v>716992841.140512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0.3011440954645747</v>
      </c>
    </row>
    <row r="7" spans="1:2" x14ac:dyDescent="0.25">
      <c r="A7" t="s">
        <v>58</v>
      </c>
      <c r="B7" s="18">
        <f>-MAX(Forecast!F9,0)*B6</f>
        <v>-215918160.599835</v>
      </c>
    </row>
    <row r="8" spans="1:2" x14ac:dyDescent="0.25">
      <c r="A8" t="s">
        <v>59</v>
      </c>
      <c r="B8" s="18">
        <f>IF(OR(Assumptions!$B$33=0,Assumptions!B12&lt;=0),B5,MAX(B5+B7,0))</f>
        <v>501074680.54067695</v>
      </c>
    </row>
    <row r="9" spans="1:2" x14ac:dyDescent="0.25">
      <c r="A9" t="s">
        <v>60</v>
      </c>
      <c r="B9" s="18">
        <f>B8*(1+Assumptions!B12)/(Assumptions!B26-Assumptions!B12)</f>
        <v>8852644584.593233</v>
      </c>
    </row>
    <row r="10" spans="1:2" x14ac:dyDescent="0.25">
      <c r="A10" t="s">
        <v>61</v>
      </c>
      <c r="B10" s="18">
        <f>B9/(1+Assumptions!B26)^(5-0.5*Assumptions!B32)</f>
        <v>6183221042.682161</v>
      </c>
    </row>
    <row r="11" spans="1:2" x14ac:dyDescent="0.25">
      <c r="A11" t="s">
        <v>62</v>
      </c>
      <c r="B11" s="18">
        <f>Forecast!B17+B10</f>
        <v>3731425769.3923116</v>
      </c>
    </row>
    <row r="12" spans="1:2" x14ac:dyDescent="0.25">
      <c r="A12" t="s">
        <v>63</v>
      </c>
      <c r="B12" s="18">
        <f>-Assumptions!B30</f>
        <v>-2713400000</v>
      </c>
    </row>
    <row r="13" spans="1:2" x14ac:dyDescent="0.25">
      <c r="A13" t="s">
        <v>64</v>
      </c>
      <c r="B13" s="18">
        <f>B11+B12</f>
        <v>1018025769.3923116</v>
      </c>
    </row>
    <row r="14" spans="1:2" x14ac:dyDescent="0.25">
      <c r="A14" s="19" t="s">
        <v>65</v>
      </c>
      <c r="B14" s="24">
        <f>B13/Assumptions!B31</f>
        <v>0.6007173274306082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1454366703.0459635</v>
      </c>
    </row>
    <row r="18" spans="1:2" x14ac:dyDescent="0.25">
      <c r="A18" t="s">
        <v>60</v>
      </c>
      <c r="B18" s="18">
        <f>B17*Assumptions!B13</f>
        <v>29087334060.91927</v>
      </c>
    </row>
    <row r="19" spans="1:2" x14ac:dyDescent="0.25">
      <c r="A19" t="s">
        <v>61</v>
      </c>
      <c r="B19" s="18">
        <f>B18/(1+Assumptions!B26)^(5-0.5*Assumptions!B32)</f>
        <v>20316348896.917297</v>
      </c>
    </row>
    <row r="20" spans="1:2" x14ac:dyDescent="0.25">
      <c r="A20" t="s">
        <v>62</v>
      </c>
      <c r="B20" s="18">
        <f>Forecast!B17+B19</f>
        <v>17864553623.62745</v>
      </c>
    </row>
    <row r="21" spans="1:2" x14ac:dyDescent="0.25">
      <c r="A21" t="s">
        <v>63</v>
      </c>
      <c r="B21" s="18">
        <f>-Assumptions!B30</f>
        <v>-2713400000</v>
      </c>
    </row>
    <row r="22" spans="1:2" x14ac:dyDescent="0.25">
      <c r="A22" t="s">
        <v>64</v>
      </c>
      <c r="B22" s="18">
        <f>B20+B21</f>
        <v>15151153623.627449</v>
      </c>
    </row>
    <row r="23" spans="1:2" x14ac:dyDescent="0.25">
      <c r="A23" s="19" t="s">
        <v>65</v>
      </c>
      <c r="B23" s="25">
        <f>B22/Assumptions!B31</f>
        <v>8.940402871834017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6.66</v>
      </c>
    </row>
    <row r="27" spans="1:3" x14ac:dyDescent="0.25">
      <c r="A27" t="s">
        <v>70</v>
      </c>
      <c r="B27" s="27">
        <v>0.8033</v>
      </c>
      <c r="C27" s="8" t="s">
        <v>71</v>
      </c>
    </row>
    <row r="28" spans="1:2" x14ac:dyDescent="0.25">
      <c r="A28" t="s">
        <v>72</v>
      </c>
      <c r="B28" s="28">
        <f>B14*B27</f>
        <v>0.4825562291250076</v>
      </c>
    </row>
    <row r="29" spans="1:2" x14ac:dyDescent="0.25">
      <c r="A29" s="19" t="s">
        <v>73</v>
      </c>
      <c r="B29" s="12">
        <f>B28/B26-1</f>
        <v>-0.9275441097409899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0.063017</v>
      </c>
      <c r="B5" s="31">
        <v>2.053971643031737</v>
      </c>
      <c r="C5" s="31">
        <v>2.079469726746164</v>
      </c>
      <c r="D5" s="31">
        <v>2.1049678104605882</v>
      </c>
      <c r="E5" s="31">
        <v>2.130465894175013</v>
      </c>
      <c r="F5" s="31">
        <v>2.1559639778894373</v>
      </c>
    </row>
    <row r="6" spans="1:6" x14ac:dyDescent="0.25">
      <c r="A6" s="30">
        <v>0.073017</v>
      </c>
      <c r="B6" s="31">
        <v>1.1986609068140115</v>
      </c>
      <c r="C6" s="31">
        <v>1.2197589663849078</v>
      </c>
      <c r="D6" s="31">
        <v>1.240857025955803</v>
      </c>
      <c r="E6" s="31">
        <v>1.2619550855266979</v>
      </c>
      <c r="F6" s="31">
        <v>1.283053145097593</v>
      </c>
    </row>
    <row r="7" spans="1:6" x14ac:dyDescent="0.25">
      <c r="A7" s="30">
        <v>0.083017</v>
      </c>
      <c r="B7" s="31">
        <v>0.5651067487823097</v>
      </c>
      <c r="C7" s="31">
        <v>0.5829047177184097</v>
      </c>
      <c r="D7" s="32">
        <v>0.6007026866545069</v>
      </c>
      <c r="E7" s="31">
        <v>0.6185006555906063</v>
      </c>
      <c r="F7" s="31">
        <v>0.6362986245267052</v>
      </c>
    </row>
    <row r="8" spans="1:6" x14ac:dyDescent="0.25">
      <c r="A8" s="30">
        <v>0.093017</v>
      </c>
      <c r="B8" s="31">
        <v>0.08095017692668434</v>
      </c>
      <c r="C8" s="31">
        <v>0.09619115217673115</v>
      </c>
      <c r="D8" s="31">
        <v>0.11143212742677683</v>
      </c>
      <c r="E8" s="31">
        <v>0.12667310267682308</v>
      </c>
      <c r="F8" s="31">
        <v>0.14191407792686989</v>
      </c>
    </row>
    <row r="9" spans="1:6" x14ac:dyDescent="0.25">
      <c r="A9" s="30">
        <v>0.103017</v>
      </c>
      <c r="B9" s="31">
        <v>-0.29802052610802315</v>
      </c>
      <c r="C9" s="31">
        <v>-0.2848116037867399</v>
      </c>
      <c r="D9" s="31">
        <v>-0.27160268146545785</v>
      </c>
      <c r="E9" s="31">
        <v>-0.2583937591441746</v>
      </c>
      <c r="F9" s="31">
        <v>-0.24518483682289197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965700000</v>
      </c>
      <c r="C5" s="18">
        <v>929300000</v>
      </c>
      <c r="D5" s="18">
        <v>836700000</v>
      </c>
      <c r="E5" s="18">
        <v>591400000</v>
      </c>
      <c r="F5" s="8" t="s">
        <v>84</v>
      </c>
    </row>
    <row r="6" spans="1:6" x14ac:dyDescent="0.25">
      <c r="A6" t="s">
        <v>44</v>
      </c>
      <c r="B6" s="18">
        <v>419000000</v>
      </c>
      <c r="C6" s="18">
        <v>428500000</v>
      </c>
      <c r="D6" s="18">
        <v>400200000</v>
      </c>
      <c r="E6" s="18">
        <v>221100000</v>
      </c>
      <c r="F6" s="8" t="s">
        <v>85</v>
      </c>
    </row>
    <row r="7" spans="1:6" x14ac:dyDescent="0.25">
      <c r="A7" t="s">
        <v>86</v>
      </c>
      <c r="B7" s="18">
        <v>241800000</v>
      </c>
      <c r="C7" s="18">
        <v>200700000</v>
      </c>
      <c r="D7" s="18">
        <v>168400000</v>
      </c>
      <c r="E7" s="18">
        <v>145300000</v>
      </c>
      <c r="F7" s="8" t="s">
        <v>87</v>
      </c>
    </row>
    <row r="8" spans="1:6" x14ac:dyDescent="0.25">
      <c r="A8" t="s">
        <v>88</v>
      </c>
      <c r="B8" s="18">
        <v>903700000</v>
      </c>
      <c r="C8" s="18">
        <v>937800000</v>
      </c>
      <c r="D8" s="18">
        <v>847200000</v>
      </c>
      <c r="E8" s="18">
        <v>465100000</v>
      </c>
      <c r="F8" s="8" t="s">
        <v>89</v>
      </c>
    </row>
    <row r="9" spans="1:6" x14ac:dyDescent="0.25">
      <c r="A9" t="s">
        <v>90</v>
      </c>
      <c r="B9" s="18">
        <v>-17600000</v>
      </c>
      <c r="C9" s="18">
        <v>26500000</v>
      </c>
      <c r="D9" s="18">
        <v>-4600000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2768800000</v>
      </c>
      <c r="C10" s="18">
        <v>2487300000</v>
      </c>
      <c r="D10" s="18">
        <v>2684700000</v>
      </c>
      <c r="E10" s="18">
        <v>1817100000</v>
      </c>
      <c r="F10" s="8" t="s">
        <v>93</v>
      </c>
    </row>
    <row r="11" spans="1:6" x14ac:dyDescent="0.25">
      <c r="A11" t="s">
        <v>94</v>
      </c>
      <c r="B11" s="18">
        <v>55400000</v>
      </c>
      <c r="C11" s="18">
        <v>567800000</v>
      </c>
      <c r="D11" s="18">
        <v>219700000</v>
      </c>
      <c r="E11" s="18">
        <v>106200000</v>
      </c>
      <c r="F11" s="8" t="s">
        <v>95</v>
      </c>
    </row>
    <row r="12" spans="1:6" x14ac:dyDescent="0.25">
      <c r="A12" t="s">
        <v>32</v>
      </c>
      <c r="B12" s="34">
        <v>1694683544</v>
      </c>
      <c r="C12" s="34">
        <v>1626449290</v>
      </c>
      <c r="D12" s="34">
        <v>1475278665</v>
      </c>
      <c r="E12" s="34">
        <v>1472279341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0" ht="54" customHeight="1" spans="1:6" x14ac:dyDescent="0.25">
      <c r="A20" s="35" t="s">
        <v>102</v>
      </c>
      <c r="B20" s="35"/>
      <c r="C20" s="35"/>
      <c r="D20" s="35"/>
      <c r="E20" s="35"/>
      <c r="F20" s="35"/>
    </row>
    <row r="21" ht="38" customHeight="1" spans="1:6" x14ac:dyDescent="0.25">
      <c r="A21" s="35" t="s">
        <v>103</v>
      </c>
      <c r="B21" s="35"/>
      <c r="C21" s="35"/>
      <c r="D21" s="35"/>
      <c r="E21" s="35"/>
      <c r="F21" s="35"/>
    </row>
    <row r="23" spans="1:1" x14ac:dyDescent="0.25">
      <c r="A23" s="36" t="s">
        <v>104</v>
      </c>
    </row>
  </sheetData>
  <mergeCells count="6">
    <mergeCell ref="A16:F16"/>
    <mergeCell ref="A17:F17"/>
    <mergeCell ref="A18:F18"/>
    <mergeCell ref="A19:F19"/>
    <mergeCell ref="A20:F20"/>
    <mergeCell ref="A21:F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2026-09-19T00:06:56Z</dcterms:modified>
</cp:coreProperties>
</file>