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<sst xmlns="http://schemas.openxmlformats.org/spreadsheetml/2006/main" count="117" uniqueCount="105">
  <si>
    <t>Auckland International Airport Limited (AIA.NZ)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</si>
  <si>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</si>
  <si>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</si>
  <si>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</si>
  <si>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</si>
  <si>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</si>
  <si>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</si>
  <si>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</si>
  <si>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</si>
  <si>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</si>
  <si>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</si>
  <si>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</si>
  <si>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</si>
  <si>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</si>
  <si>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</si>
  <si>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</si>
  <si>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</si>
  <si>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</si>
  <si>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</si>
  <si>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</si>
  <si>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</si>
  <si>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</si>
  <si>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</si>
  <si>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</si>
  <si>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</si>
  <si>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</si>
  <si>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</si>
  <si>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</si>
  <si>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</si>
  <si>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</si>
  <si>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</si>
  <si>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</si>
  <si>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</si>
  <si>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</si>
  <si>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</si>
  <si>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</si>
  <si>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</si>
  <si>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</si>
  <si>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</si>
  <si>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</si>
  <si>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</si>
  <si>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</si>
  <si>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</si>
  <si>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</si>
  <si>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</si>
  <si>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</si>
  <si>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</si>
  <si>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</si>
  <si>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</si>
  <si>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</si>
  <si>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</si>
  <si>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</si>
  <si>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</si>
  <si>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</si>
  <si>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</si>
  <si>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</si>
  <si>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</si>
  <si>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</si>
  <si>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</si>
  <si>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</si>
  <si>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</si>
  <si>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</si>
  <si>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</si>
  <si>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</si>
  <si>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</si>
  <si>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</si>
  <si>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</si>
  <si>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</si>
  <si>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</si>
  <si>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</si>
  <si>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</si>
  <si>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</si>
  <si>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</si>
  <si>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</si>
  <si>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</si>
  <si>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</si>
  <si>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</si>
  <si>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</si>
  <si>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</si>
  <si>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</si>
  <si>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</si>
  <si>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</si>
  <si>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</si>
  <si>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</si>
  <si>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</si>
  <si>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</si>
  <si>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</si>
  <si>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</si>
  <si>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</si>
  <si>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</si>
  <si>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</si>
  <si>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</si>
  <si>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</si>
  <si>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</si>
  <si>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</si>
  <si>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</si>
  <si>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</si>
  <si>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</si>
  <si>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9.6%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</si>
  <si>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</si>
  <si>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</si>
  <si>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Adjusted: Capital expenditure runs at 93.6% of revenue against depreciation of 22.8%.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</si>
  <si>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NZD assumption - no free live source available for this market.</t>
  </si>
  <si>
    <t>Current EV/EBITDA of 25.8x sits outside a defensible 3-20x band, so the exit multiple is capped at 20.0x. A multiple that far out usually means EBITDA is the wrong denominator for this business.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</si>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</sst>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0.17757064380950016</v>
      </c>
    </row>
    <row r="7" spans="1:2" x14ac:dyDescent="0.25">
      <c r="A7" t="s">
        <v>5</v>
      </c>
      <c r="B7" s="6">
        <v>0.43678704704548427</v>
      </c>
    </row>
    <row r="8" spans="1:2" x14ac:dyDescent="0.25">
      <c r="A8" t="s">
        <v>6</v>
      </c>
      <c r="B8" s="6">
        <v>0.24929728737720838</v>
      </c>
    </row>
    <row r="9" spans="1:2" x14ac:dyDescent="0.25">
      <c r="A9" t="s">
        <v>7</v>
      </c>
      <c r="B9" s="6">
        <v>0.228328101895073</v>
      </c>
    </row>
    <row r="10" spans="1:2" x14ac:dyDescent="0.25">
      <c r="A10" t="s">
        <v>8</v>
      </c>
      <c r="B10" s="6">
        <v>0.935983198899254</v>
      </c>
    </row>
    <row r="11" spans="1:2" x14ac:dyDescent="0.25">
      <c r="A11" t="s">
        <v>9</v>
      </c>
      <c r="B11" s="6">
        <v>-0.018752547900529964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0.07951009230400846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0.66701</v>
      </c>
      <c r="C19" s="8" t="s">
        <v>19</v>
      </c>
    </row>
    <row r="20" spans="1:2" x14ac:dyDescent="0.25">
      <c r="A20" t="s">
        <v>20</v>
      </c>
      <c r="B20" s="10">
        <f>B17+B19*B18</f>
        <v>0.08835565000000001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14313737216</v>
      </c>
    </row>
    <row r="23" spans="1:2" x14ac:dyDescent="0.25">
      <c r="A23" t="s">
        <v>24</v>
      </c>
      <c r="B23" s="11">
        <v>2768800000</v>
      </c>
    </row>
    <row r="24" spans="1:2" x14ac:dyDescent="0.25">
      <c r="A24" t="s">
        <v>25</v>
      </c>
      <c r="B24" s="10">
        <f>B22/(B22+B23)</f>
        <v>0.8379163490183027</v>
      </c>
    </row>
    <row r="25" spans="1:2" x14ac:dyDescent="0.25">
      <c r="A25" t="s">
        <v>26</v>
      </c>
      <c r="B25" s="10">
        <f>1-B24</f>
        <v>0.1620836509816973</v>
      </c>
    </row>
    <row r="26" spans="1:2" x14ac:dyDescent="0.25">
      <c r="A26" t="s">
        <v>27</v>
      </c>
      <c r="B26" s="12">
        <f>B24*B20+B25*B21*(1-B8)</f>
        <v>0.07951009230400846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965700000</v>
      </c>
      <c r="C29" s="8" t="s">
        <v>30</v>
      </c>
    </row>
    <row r="30" spans="1:2" x14ac:dyDescent="0.25">
      <c r="A30" t="s">
        <v>31</v>
      </c>
      <c r="B30" s="11">
        <v>2713400000</v>
      </c>
    </row>
    <row r="31" spans="1:2" x14ac:dyDescent="0.25">
      <c r="A31" t="s">
        <v>32</v>
      </c>
      <c r="B31" s="13">
        <v>1694683544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0.17757064380950016</v>
      </c>
      <c r="C5" s="10">
        <f>Assumptions!B6</f>
        <v>0.17757064380950016</v>
      </c>
      <c r="D5" s="10">
        <f>Assumptions!B6</f>
        <v>0.17757064380950016</v>
      </c>
      <c r="E5" s="10">
        <f>Assumptions!B6</f>
        <v>0.17757064380950016</v>
      </c>
      <c r="F5" s="10">
        <f>Assumptions!B6</f>
        <v>0.17757064380950016</v>
      </c>
    </row>
    <row r="6" spans="1:6" x14ac:dyDescent="0.25">
      <c r="A6" t="s">
        <v>43</v>
      </c>
      <c r="B6" s="18">
        <f>Assumptions!B29*(1+B5)</f>
        <v>1137179970.7268343</v>
      </c>
      <c r="C6" s="18">
        <f>B6*(1+C5)</f>
        <v>1339109750.2560668</v>
      </c>
      <c r="D6" s="18">
        <f>C6*(1+D5)</f>
        <v>1576896330.7406156</v>
      </c>
      <c r="E6" s="18">
        <f>D6*(1+E5)</f>
        <v>1856906827.411065</v>
      </c>
      <c r="F6" s="18">
        <f>E6*(1+F5)</f>
        <v>2186638968.2487044</v>
      </c>
    </row>
    <row r="7" spans="1:6" x14ac:dyDescent="0.25">
      <c r="A7" t="s">
        <v>5</v>
      </c>
      <c r="B7" s="10">
        <f>Assumptions!B7</f>
        <v>0.43678704704548427</v>
      </c>
      <c r="C7" s="10">
        <f>Assumptions!B7</f>
        <v>0.43678704704548427</v>
      </c>
      <c r="D7" s="10">
        <f>Assumptions!B7</f>
        <v>0.43678704704548427</v>
      </c>
      <c r="E7" s="10">
        <f>Assumptions!B7</f>
        <v>0.43678704704548427</v>
      </c>
      <c r="F7" s="10">
        <f>Assumptions!B7</f>
        <v>0.43678704704548427</v>
      </c>
    </row>
    <row r="8" spans="1:6" x14ac:dyDescent="0.25">
      <c r="A8" t="s">
        <v>44</v>
      </c>
      <c r="B8" s="18">
        <f>B6*B7</f>
        <v>496705481.3730442</v>
      </c>
      <c r="C8" s="18">
        <f>C6*C7</f>
        <v>584905793.4841633</v>
      </c>
      <c r="D8" s="18">
        <f>D6*D7</f>
        <v>688767891.8010528</v>
      </c>
      <c r="E8" s="18">
        <f>E6*E7</f>
        <v>811072849.7834778</v>
      </c>
      <c r="F8" s="18">
        <f>F6*F7</f>
        <v>955095577.895936</v>
      </c>
    </row>
    <row r="9" spans="1:6" x14ac:dyDescent="0.25">
      <c r="A9" t="s">
        <v>45</v>
      </c>
      <c r="B9" s="18">
        <f>B8*(1-Assumptions!B8)</f>
        <v>372878152.2413538</v>
      </c>
      <c r="C9" s="18">
        <f>C8*(1-Assumptions!B8)</f>
        <v>439090365.7973477</v>
      </c>
      <c r="D9" s="18">
        <f>D8*(1-Assumptions!B8)</f>
        <v>517059924.7425318</v>
      </c>
      <c r="E9" s="18">
        <f>E8*(1-Assumptions!B8)</f>
        <v>608874588.4671547</v>
      </c>
      <c r="F9" s="18">
        <f>F8*(1-Assumptions!B8)</f>
        <v>716992841.140512</v>
      </c>
    </row>
    <row r="10" spans="1:6" x14ac:dyDescent="0.25">
      <c r="A10" t="s">
        <v>46</v>
      </c>
      <c r="B10" s="18">
        <f>B6*Assumptions!B9</f>
        <v>259650144.22915274</v>
      </c>
      <c r="C10" s="18">
        <f>C6*Assumptions!B9</f>
        <v>305756387.50515294</v>
      </c>
      <c r="D10" s="18">
        <f>D6*Assumptions!B9</f>
        <v>360049746.08331</v>
      </c>
      <c r="E10" s="18">
        <f>E6*Assumptions!B9</f>
        <v>423984011.29877037</v>
      </c>
      <c r="F10" s="18">
        <f>F6*Assumptions!B9</f>
        <v>499271125.15002745</v>
      </c>
    </row>
    <row r="11" spans="1:6" x14ac:dyDescent="0.25">
      <c r="A11" t="s">
        <v>47</v>
      </c>
      <c r="B11" s="18">
        <f>-B6*Assumptions!B10</f>
        <v>-1064381346.7250624</v>
      </c>
      <c r="C11" s="18">
        <f>-C6*Assumptions!B10</f>
        <v>-1253384227.7218544</v>
      </c>
      <c r="D11" s="18">
        <f>-D6*Assumptions!B10</f>
        <v>-1475948471.9790974</v>
      </c>
      <c r="E11" s="18">
        <f>-E6*Assumptions!B10</f>
        <v>-1738033592.3780737</v>
      </c>
      <c r="F11" s="18">
        <f>-F6*Assumptions!B10</f>
        <v>-2046657336.3391867</v>
      </c>
    </row>
    <row r="12" spans="1:6" x14ac:dyDescent="0.25">
      <c r="A12" t="s">
        <v>48</v>
      </c>
      <c r="B12" s="18">
        <f>-(B6-Assumptions!B29)*Assumptions!B11</f>
        <v>3215686.3650364364</v>
      </c>
      <c r="C12" s="18">
        <f>-(C6-B6)*Assumptions!B11</f>
        <v>3786697.8631653874</v>
      </c>
      <c r="D12" s="18">
        <f>-(D6-C6)*Assumptions!B11</f>
        <v>4459104.240639725</v>
      </c>
      <c r="E12" s="18">
        <f>-(E6-D6)*Assumptions!B11</f>
        <v>5250910.25146379</v>
      </c>
      <c r="F12" s="18">
        <f>-(F6-E6)*Assumptions!B11</f>
        <v>6183317.765402124</v>
      </c>
    </row>
    <row r="13" spans="1:6" x14ac:dyDescent="0.25">
      <c r="A13" s="19" t="s">
        <v>49</v>
      </c>
      <c r="B13" s="20">
        <f>B9+B10+B11+B12</f>
        <v>-428637363.8895194</v>
      </c>
      <c r="C13" s="20">
        <f>C9+C10+C11+C12</f>
        <v>-504750776.55618834</v>
      </c>
      <c r="D13" s="20">
        <f>D9+D10+D11+D12</f>
        <v>-594379696.9126159</v>
      </c>
      <c r="E13" s="20">
        <f>E9+E10+E11+E12</f>
        <v>-699924082.3606848</v>
      </c>
      <c r="F13" s="20">
        <f>F9+F10+F11+F12</f>
        <v>-824210052.2832451</v>
      </c>
    </row>
    <row r="14" spans="1:6" x14ac:dyDescent="0.25">
      <c r="A14" t="s">
        <v>50</v>
      </c>
      <c r="B14" s="21">
        <f>1/(1+Assumptions!$B$26)^(1-0.5*Assumptions!$B$32)</f>
        <v>0.9624687701041782</v>
      </c>
      <c r="C14" s="21">
        <f>1/(1+Assumptions!$B$26)^(2-0.5*Assumptions!$B$32)</f>
        <v>0.8915792237291382</v>
      </c>
      <c r="D14" s="21">
        <f>1/(1+Assumptions!$B$26)^(3-0.5*Assumptions!$B$32)</f>
        <v>0.8259109665443075</v>
      </c>
      <c r="E14" s="21">
        <f>1/(1+Assumptions!$B$26)^(4-0.5*Assumptions!$B$32)</f>
        <v>0.7650794304123254</v>
      </c>
      <c r="F14" s="21">
        <f>1/(1+Assumptions!$B$26)^(5-0.5*Assumptions!$B$32)</f>
        <v>0.708728372126109</v>
      </c>
    </row>
    <row r="15" spans="1:6" x14ac:dyDescent="0.25">
      <c r="A15" s="19" t="s">
        <v>51</v>
      </c>
      <c r="B15" s="20">
        <f>B13*B14</f>
        <v>-412550076.4434428</v>
      </c>
      <c r="C15" s="20">
        <f>C13*C14</f>
        <v>-450025305.5386461</v>
      </c>
      <c r="D15" s="20">
        <f>D13*D14</f>
        <v>-490904709.97141117</v>
      </c>
      <c r="E15" s="20">
        <f>E13*E14</f>
        <v>-535497518.26438224</v>
      </c>
      <c r="F15" s="20">
        <f>F13*F14</f>
        <v>-584141048.6446794</v>
      </c>
    </row>
    <row r="17" spans="1:2" x14ac:dyDescent="0.25">
      <c r="A17" s="22" t="s">
        <v>52</v>
      </c>
      <c r="B17" s="23">
        <f>SUM(B15:F15)</f>
        <v>-2473118658.8625617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-824210052.2832451</v>
      </c>
    </row>
    <row r="5" spans="1:2" x14ac:dyDescent="0.25">
      <c r="A5" t="s">
        <v>56</v>
      </c>
      <c r="B5" s="18">
        <f>IF(Assumptions!$B$33=0,B4,B4-Forecast!F11-Forecast!F10-Forecast!F12)</f>
        <v>716992841.140512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0.31442549336267894</v>
      </c>
    </row>
    <row r="7" spans="1:2" x14ac:dyDescent="0.25">
      <c r="A7" t="s">
        <v>58</v>
      </c>
      <c r="B7" s="18">
        <f>-MAX(Forecast!F9,0)*B6</f>
        <v>-225440827.81311437</v>
      </c>
    </row>
    <row r="8" spans="1:2" x14ac:dyDescent="0.25">
      <c r="A8" t="s">
        <v>59</v>
      </c>
      <c r="B8" s="18">
        <f>IF(OR(Assumptions!$B$33=0,Assumptions!B12&lt;=0),B5,MAX(B5+B7,0))</f>
        <v>491552013.3273976</v>
      </c>
    </row>
    <row r="9" spans="1:2" x14ac:dyDescent="0.25">
      <c r="A9" t="s">
        <v>60</v>
      </c>
      <c r="B9" s="18">
        <f>B8*(1+Assumptions!B12)/(Assumptions!B26-Assumptions!B12)</f>
        <v>9243073940.337687</v>
      </c>
    </row>
    <row r="10" spans="1:2" x14ac:dyDescent="0.25">
      <c r="A10" t="s">
        <v>61</v>
      </c>
      <c r="B10" s="18">
        <f>B9/(1+Assumptions!B26)^(5-0.5*Assumptions!B32)</f>
        <v>6550828747.176788</v>
      </c>
    </row>
    <row r="11" spans="1:2" x14ac:dyDescent="0.25">
      <c r="A11" t="s">
        <v>62</v>
      </c>
      <c r="B11" s="18">
        <f>Forecast!B17+B10</f>
        <v>4077710088.3142266</v>
      </c>
    </row>
    <row r="12" spans="1:2" x14ac:dyDescent="0.25">
      <c r="A12" t="s">
        <v>63</v>
      </c>
      <c r="B12" s="18">
        <f>-Assumptions!B30</f>
        <v>-2713400000</v>
      </c>
    </row>
    <row r="13" spans="1:2" x14ac:dyDescent="0.25">
      <c r="A13" t="s">
        <v>64</v>
      </c>
      <c r="B13" s="18">
        <f>B11+B12</f>
        <v>1364310088.3142266</v>
      </c>
    </row>
    <row r="14" spans="1:2" x14ac:dyDescent="0.25">
      <c r="A14" s="19" t="s">
        <v>65</v>
      </c>
      <c r="B14" s="24">
        <f>B13/Assumptions!B31</f>
        <v>0.8050530101295577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1454366703.0459635</v>
      </c>
    </row>
    <row r="18" spans="1:2" x14ac:dyDescent="0.25">
      <c r="A18" t="s">
        <v>60</v>
      </c>
      <c r="B18" s="18">
        <f>B17*Assumptions!B13</f>
        <v>29087334060.91927</v>
      </c>
    </row>
    <row r="19" spans="1:2" x14ac:dyDescent="0.25">
      <c r="A19" t="s">
        <v>61</v>
      </c>
      <c r="B19" s="18">
        <f>B18/(1+Assumptions!B26)^(5-0.5*Assumptions!B32)</f>
        <v>20615018918.483635</v>
      </c>
    </row>
    <row r="20" spans="1:2" x14ac:dyDescent="0.25">
      <c r="A20" t="s">
        <v>62</v>
      </c>
      <c r="B20" s="18">
        <f>Forecast!B17+B19</f>
        <v>18141900259.621075</v>
      </c>
    </row>
    <row r="21" spans="1:2" x14ac:dyDescent="0.25">
      <c r="A21" t="s">
        <v>63</v>
      </c>
      <c r="B21" s="18">
        <f>-Assumptions!B30</f>
        <v>-2713400000</v>
      </c>
    </row>
    <row r="22" spans="1:2" x14ac:dyDescent="0.25">
      <c r="A22" t="s">
        <v>64</v>
      </c>
      <c r="B22" s="18">
        <f>B20+B21</f>
        <v>15428500259.621075</v>
      </c>
    </row>
    <row r="23" spans="1:2" x14ac:dyDescent="0.25">
      <c r="A23" s="19" t="s">
        <v>65</v>
      </c>
      <c r="B23" s="25">
        <f>B22/Assumptions!B31</f>
        <v>9.104059760446388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8.42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0.8050530101295577</v>
      </c>
    </row>
    <row r="29" spans="1:2" x14ac:dyDescent="0.25">
      <c r="A29" s="19" t="s">
        <v>73</v>
      </c>
      <c r="B29" s="12">
        <f>B28/B26-1</f>
        <v>-0.9043880035475584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0.05951</v>
      </c>
      <c r="B5" s="31">
        <v>2.427455575408811</v>
      </c>
      <c r="C5" s="31">
        <v>2.4548608079066314</v>
      </c>
      <c r="D5" s="31">
        <v>2.482266040404451</v>
      </c>
      <c r="E5" s="31">
        <v>2.509671272902271</v>
      </c>
      <c r="F5" s="31">
        <v>2.5370765054000914</v>
      </c>
    </row>
    <row r="6" spans="1:6" x14ac:dyDescent="0.25">
      <c r="A6" s="30">
        <v>0.06951</v>
      </c>
      <c r="B6" s="31">
        <v>1.4684043298007412</v>
      </c>
      <c r="C6" s="31">
        <v>1.4908957614083476</v>
      </c>
      <c r="D6" s="31">
        <v>1.5133871930159528</v>
      </c>
      <c r="E6" s="31">
        <v>1.5358786246235592</v>
      </c>
      <c r="F6" s="31">
        <v>1.5583700562311644</v>
      </c>
    </row>
    <row r="7" spans="1:6" x14ac:dyDescent="0.25">
      <c r="A7" s="30">
        <v>0.07951</v>
      </c>
      <c r="B7" s="31">
        <v>0.7673462281366382</v>
      </c>
      <c r="C7" s="31">
        <v>0.7862024397799768</v>
      </c>
      <c r="D7" s="32">
        <v>0.8050586514233132</v>
      </c>
      <c r="E7" s="31">
        <v>0.8239148630666508</v>
      </c>
      <c r="F7" s="31">
        <v>0.8427710747099878</v>
      </c>
    </row>
    <row r="8" spans="1:6" x14ac:dyDescent="0.25">
      <c r="A8" s="30">
        <v>0.08951</v>
      </c>
      <c r="B8" s="31">
        <v>0.23692042021775273</v>
      </c>
      <c r="C8" s="31">
        <v>0.2529892466961514</v>
      </c>
      <c r="D8" s="31">
        <v>0.2690580731745478</v>
      </c>
      <c r="E8" s="31">
        <v>0.2851268996529459</v>
      </c>
      <c r="F8" s="31">
        <v>0.301195726131344</v>
      </c>
    </row>
    <row r="9" spans="1:6" x14ac:dyDescent="0.25">
      <c r="A9" s="30">
        <v>0.09951</v>
      </c>
      <c r="B9" s="31">
        <v>-0.17506289131625885</v>
      </c>
      <c r="C9" s="31">
        <v>-0.1611910804445113</v>
      </c>
      <c r="D9" s="31">
        <v>-0.1473192695727649</v>
      </c>
      <c r="E9" s="31">
        <v>-0.1334474587010179</v>
      </c>
      <c r="F9" s="31">
        <v>-0.11957564782927149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965700000</v>
      </c>
      <c r="C5" s="18">
        <v>929300000</v>
      </c>
      <c r="D5" s="18">
        <v>836700000</v>
      </c>
      <c r="E5" s="18">
        <v>591400000</v>
      </c>
      <c r="F5" s="8" t="s">
        <v>84</v>
      </c>
    </row>
    <row r="6" spans="1:6" x14ac:dyDescent="0.25">
      <c r="A6" t="s">
        <v>44</v>
      </c>
      <c r="B6" s="18">
        <v>419000000</v>
      </c>
      <c r="C6" s="18">
        <v>428500000</v>
      </c>
      <c r="D6" s="18">
        <v>400200000</v>
      </c>
      <c r="E6" s="18">
        <v>221100000</v>
      </c>
      <c r="F6" s="8" t="s">
        <v>85</v>
      </c>
    </row>
    <row r="7" spans="1:6" x14ac:dyDescent="0.25">
      <c r="A7" t="s">
        <v>86</v>
      </c>
      <c r="B7" s="18">
        <v>241800000</v>
      </c>
      <c r="C7" s="18">
        <v>200700000</v>
      </c>
      <c r="D7" s="18">
        <v>168400000</v>
      </c>
      <c r="E7" s="18">
        <v>145300000</v>
      </c>
      <c r="F7" s="8" t="s">
        <v>87</v>
      </c>
    </row>
    <row r="8" spans="1:6" x14ac:dyDescent="0.25">
      <c r="A8" t="s">
        <v>88</v>
      </c>
      <c r="B8" s="18">
        <v>903700000</v>
      </c>
      <c r="C8" s="18">
        <v>937800000</v>
      </c>
      <c r="D8" s="18">
        <v>847200000</v>
      </c>
      <c r="E8" s="18">
        <v>465100000</v>
      </c>
      <c r="F8" s="8" t="s">
        <v>89</v>
      </c>
    </row>
    <row r="9" spans="1:6" x14ac:dyDescent="0.25">
      <c r="A9" t="s">
        <v>90</v>
      </c>
      <c r="B9" s="18">
        <v>-17600000</v>
      </c>
      <c r="C9" s="18">
        <v>26500000</v>
      </c>
      <c r="D9" s="18">
        <v>-4600000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2768800000</v>
      </c>
      <c r="C10" s="18">
        <v>2487300000</v>
      </c>
      <c r="D10" s="18">
        <v>2684700000</v>
      </c>
      <c r="E10" s="18">
        <v>1817100000</v>
      </c>
      <c r="F10" s="8" t="s">
        <v>93</v>
      </c>
    </row>
    <row r="11" spans="1:6" x14ac:dyDescent="0.25">
      <c r="A11" t="s">
        <v>94</v>
      </c>
      <c r="B11" s="18">
        <v>55400000</v>
      </c>
      <c r="C11" s="18">
        <v>567800000</v>
      </c>
      <c r="D11" s="18">
        <v>219700000</v>
      </c>
      <c r="E11" s="18">
        <v>106200000</v>
      </c>
      <c r="F11" s="8" t="s">
        <v>95</v>
      </c>
    </row>
    <row r="12" spans="1:6" x14ac:dyDescent="0.25">
      <c r="A12" t="s">
        <v>32</v>
      </c>
      <c r="B12" s="34">
        <v>1694683544</v>
      </c>
      <c r="C12" s="34">
        <v>1626449290</v>
      </c>
      <c r="D12" s="34">
        <v>1475278665</v>
      </c>
      <c r="E12" s="34">
        <v>1472279341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54" customHeight="1" spans="1:6" x14ac:dyDescent="0.25">
      <c r="A19" s="35" t="s">
        <v>101</v>
      </c>
      <c r="B19" s="35"/>
      <c r="C19" s="35"/>
      <c r="D19" s="35"/>
      <c r="E19" s="35"/>
      <c r="F19" s="35"/>
    </row>
    <row r="20" ht="22" customHeight="1" spans="1:6" x14ac:dyDescent="0.25">
      <c r="A20" s="35" t="s">
        <v>102</v>
      </c>
      <c r="B20" s="35"/>
      <c r="C20" s="35"/>
      <c r="D20" s="35"/>
      <c r="E20" s="35"/>
      <c r="F20" s="35"/>
    </row>
    <row r="21" ht="38" customHeight="1" spans="1:6" x14ac:dyDescent="0.25">
      <c r="A21" s="35" t="s">
        <v>103</v>
      </c>
      <c r="B21" s="35"/>
      <c r="C21" s="35"/>
      <c r="D21" s="35"/>
      <c r="E21" s="35"/>
      <c r="F21" s="35"/>
    </row>
    <row r="23" spans="1:1" x14ac:dyDescent="0.25">
      <c r="A23" s="36" t="s">
        <v>104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2026-09-19T00:08:40Z</dcterms:modified>
</cp:coreProperties>
</file>