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<sst xmlns="http://schemas.openxmlformats.org/spreadsheetml/2006/main" count="114" uniqueCount="101">
  <si>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American International Group, Inc. (AIG)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</si>
  <si>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</si>
  <si>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</si>
  <si>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</si>
  <si>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</si>
  <si>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</si>
  <si>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</si>
  <si>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</si>
  <si>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</si>
  <si>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</si>
  <si>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</si>
  <si>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</si>
  <si>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</si>
  <si>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</si>
  <si>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</si>
  <si>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</si>
  <si>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</si>
  <si>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</si>
  <si>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</si>
  <si>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</si>
  <si>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</si>
  <si>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</si>
  <si>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</si>
  <si>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</si>
  <si>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</si>
  <si>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</si>
  <si>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</si>
  <si>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</si>
  <si>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</si>
  <si>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</si>
  <si>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</si>
  <si>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</si>
  <si>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</si>
  <si>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</si>
  <si>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</si>
  <si>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</si>
  <si>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</si>
  <si>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</si>
  <si>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</si>
  <si>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</si>
  <si>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</si>
  <si>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</si>
  <si>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</si>
  <si>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</si>
  <si>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</si>
  <si>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</si>
  <si>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</si>
  <si>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</si>
  <si>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</si>
  <si>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</si>
  <si>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</si>
  <si>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</si>
  <si>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</si>
  <si>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</si>
  <si>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</si>
  <si>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</si>
  <si>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</si>
  <si>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</si>
  <si>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</si>
  <si>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</si>
  <si>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</si>
  <si>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</si>
  <si>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</si>
  <si>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</si>
  <si>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</si>
  <si>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</si>
  <si>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</si>
  <si>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</si>
  <si>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</si>
  <si>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</si>
  <si>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</si>
  <si>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</si>
  <si>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</si>
  <si>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</si>
  <si>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</si>
  <si>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</si>
  <si>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</si>
  <si>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</si>
  <si>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</si>
  <si>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</si>
  <si>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</si>
  <si>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</si>
  <si>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</si>
  <si>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</si>
  <si>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</si>
  <si>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</si>
  <si>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</si>
  <si>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</si>
  <si>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</si>
  <si>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</si>
  <si>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</si>
  <si>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</si>
  <si>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</si>
  <si>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</si>
  <si>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</si>
  <si>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</si>
  <si>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</si>
  <si>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</si>
  <si>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13.18%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</si>
  <si>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1.4x sits outside a defensible 3-20x band, so the exit multiple is capped at 3.0x.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</si>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</sst>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-0.036944411466962035</v>
      </c>
    </row>
    <row r="7" spans="1:2" x14ac:dyDescent="0.25">
      <c r="A7" t="s">
        <v>5</v>
      </c>
      <c r="B7" s="6">
        <v>0.1288129594569566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0.1318091573380296</v>
      </c>
    </row>
    <row r="10" spans="1:2" x14ac:dyDescent="0.25">
      <c r="A10" t="s">
        <v>8</v>
      </c>
      <c r="B10" s="6">
        <v>0.1318091573380296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0.07797829144944038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0.6723699999999999</v>
      </c>
      <c r="C19" s="8" t="s">
        <v>19</v>
      </c>
    </row>
    <row r="20" spans="1:2" x14ac:dyDescent="0.25">
      <c r="A20" t="s">
        <v>20</v>
      </c>
      <c r="B20" s="10">
        <f>B17+B19*B18</f>
        <v>0.08696034999999999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39389544448</v>
      </c>
    </row>
    <row r="23" spans="1:2" x14ac:dyDescent="0.25">
      <c r="A23" t="s">
        <v>24</v>
      </c>
      <c r="B23" s="11">
        <v>9191000000</v>
      </c>
    </row>
    <row r="24" spans="1:2" x14ac:dyDescent="0.25">
      <c r="A24" t="s">
        <v>25</v>
      </c>
      <c r="B24" s="10">
        <f>B22/(B22+B23)</f>
        <v>0.8108090367361377</v>
      </c>
    </row>
    <row r="25" spans="1:2" x14ac:dyDescent="0.25">
      <c r="A25" t="s">
        <v>26</v>
      </c>
      <c r="B25" s="10">
        <f>1-B24</f>
        <v>0.1891909632638623</v>
      </c>
    </row>
    <row r="26" spans="1:2" x14ac:dyDescent="0.25">
      <c r="A26" t="s">
        <v>27</v>
      </c>
      <c r="B26" s="12">
        <f>B24*B20+B25*B21*(1-B8)</f>
        <v>0.07797829144944038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26774000000</v>
      </c>
      <c r="C29" s="8" t="s">
        <v>30</v>
      </c>
    </row>
    <row r="30" spans="1:2" x14ac:dyDescent="0.25">
      <c r="A30" t="s">
        <v>31</v>
      </c>
      <c r="B30" s="11">
        <v>-29217000000</v>
      </c>
    </row>
    <row r="31" spans="1:2" x14ac:dyDescent="0.25">
      <c r="A31" t="s">
        <v>32</v>
      </c>
      <c r="B31" s="13">
        <v>570349988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-0.036944411466962035</v>
      </c>
      <c r="C5" s="10">
        <f>Assumptions!B6</f>
        <v>-0.036944411466962035</v>
      </c>
      <c r="D5" s="10">
        <f>Assumptions!B6</f>
        <v>-0.036944411466962035</v>
      </c>
      <c r="E5" s="10">
        <f>Assumptions!B6</f>
        <v>-0.036944411466962035</v>
      </c>
      <c r="F5" s="10">
        <f>Assumptions!B6</f>
        <v>-0.036944411466962035</v>
      </c>
    </row>
    <row r="6" spans="1:6" x14ac:dyDescent="0.25">
      <c r="A6" t="s">
        <v>43</v>
      </c>
      <c r="B6" s="18">
        <f>Assumptions!B29*(1+B5)</f>
        <v>25784850327.38356</v>
      </c>
      <c r="C6" s="18">
        <f>B6*(1+C5)</f>
        <v>24832244207.27467</v>
      </c>
      <c r="D6" s="18">
        <f>C6*(1+D5)</f>
        <v>23914831559.63303</v>
      </c>
      <c r="E6" s="18">
        <f>D6*(1+E5)</f>
        <v>23031312182.330856</v>
      </c>
      <c r="F6" s="18">
        <f>E6*(1+F5)</f>
        <v>22180433908.44277</v>
      </c>
    </row>
    <row r="7" spans="1:6" x14ac:dyDescent="0.25">
      <c r="A7" t="s">
        <v>5</v>
      </c>
      <c r="B7" s="10">
        <f>Assumptions!B7</f>
        <v>0.1288129594569566</v>
      </c>
      <c r="C7" s="10">
        <f>Assumptions!B7</f>
        <v>0.1288129594569566</v>
      </c>
      <c r="D7" s="10">
        <f>Assumptions!B7</f>
        <v>0.1288129594569566</v>
      </c>
      <c r="E7" s="10">
        <f>Assumptions!B7</f>
        <v>0.1288129594569566</v>
      </c>
      <c r="F7" s="10">
        <f>Assumptions!B7</f>
        <v>0.1288129594569566</v>
      </c>
    </row>
    <row r="8" spans="1:6" x14ac:dyDescent="0.25">
      <c r="A8" t="s">
        <v>44</v>
      </c>
      <c r="B8" s="18">
        <f>B6*B7</f>
        <v>3321422879.824952</v>
      </c>
      <c r="C8" s="18">
        <f>C6*C7</f>
        <v>3198714866.296917</v>
      </c>
      <c r="D8" s="18">
        <f>D6*D7</f>
        <v>3080540228.110955</v>
      </c>
      <c r="E8" s="18">
        <f>E6*E7</f>
        <v>2966731482.383095</v>
      </c>
      <c r="F8" s="18">
        <f>F6*F7</f>
        <v>2857127333.7859435</v>
      </c>
    </row>
    <row r="9" spans="1:6" x14ac:dyDescent="0.25">
      <c r="A9" t="s">
        <v>45</v>
      </c>
      <c r="B9" s="18">
        <f>B8*(1-Assumptions!B8)</f>
        <v>2623924075.0617123</v>
      </c>
      <c r="C9" s="18">
        <f>C8*(1-Assumptions!B8)</f>
        <v>2526984744.3745646</v>
      </c>
      <c r="D9" s="18">
        <f>D8*(1-Assumptions!B8)</f>
        <v>2433626780.207655</v>
      </c>
      <c r="E9" s="18">
        <f>E8*(1-Assumptions!B8)</f>
        <v>2343717871.082645</v>
      </c>
      <c r="F9" s="18">
        <f>F8*(1-Assumptions!B8)</f>
        <v>2257130593.6908956</v>
      </c>
    </row>
    <row r="10" spans="1:6" x14ac:dyDescent="0.25">
      <c r="A10" t="s">
        <v>46</v>
      </c>
      <c r="B10" s="18">
        <f>B6*Assumptions!B9</f>
        <v>3398679393.7396436</v>
      </c>
      <c r="C10" s="18">
        <f>C6*Assumptions!B9</f>
        <v>3273117183.773041</v>
      </c>
      <c r="D10" s="18">
        <f>D6*Assumptions!B9</f>
        <v>3152193795.7561455</v>
      </c>
      <c r="E10" s="18">
        <f>E6*Assumptions!B9</f>
        <v>3035737851.1421256</v>
      </c>
      <c r="F10" s="18">
        <f>F6*Assumptions!B9</f>
        <v>2923584302.8636994</v>
      </c>
    </row>
    <row r="11" spans="1:6" x14ac:dyDescent="0.25">
      <c r="A11" t="s">
        <v>47</v>
      </c>
      <c r="B11" s="18">
        <f>-B6*Assumptions!B10</f>
        <v>-3398679393.7396436</v>
      </c>
      <c r="C11" s="18">
        <f>-C6*Assumptions!B10</f>
        <v>-3273117183.773041</v>
      </c>
      <c r="D11" s="18">
        <f>-D6*Assumptions!B10</f>
        <v>-3152193795.7561455</v>
      </c>
      <c r="E11" s="18">
        <f>-E6*Assumptions!B10</f>
        <v>-3035737851.1421256</v>
      </c>
      <c r="F11" s="18">
        <f>-F6*Assumptions!B10</f>
        <v>-2923584302.8636994</v>
      </c>
    </row>
    <row r="12" spans="1:6" x14ac:dyDescent="0.25">
      <c r="A12" t="s">
        <v>48</v>
      </c>
      <c r="B12" s="18">
        <f>-(B6-Assumptions!B29)*Assumptions!B11</f>
        <v>-989149672.6164398</v>
      </c>
      <c r="C12" s="18">
        <f>-(C6-B6)*Assumptions!B11</f>
        <v>-952606120.1088905</v>
      </c>
      <c r="D12" s="18">
        <f>-(D6-C6)*Assumptions!B11</f>
        <v>-917412647.6416397</v>
      </c>
      <c r="E12" s="18">
        <f>-(E6-D6)*Assumptions!B11</f>
        <v>-883519377.3021736</v>
      </c>
      <c r="F12" s="18">
        <f>-(F6-E6)*Assumptions!B11</f>
        <v>-850878273.8880882</v>
      </c>
    </row>
    <row r="13" spans="1:6" x14ac:dyDescent="0.25">
      <c r="A13" s="19" t="s">
        <v>49</v>
      </c>
      <c r="B13" s="20">
        <f>B9+B10+B11+B12</f>
        <v>1634774402.445272</v>
      </c>
      <c r="C13" s="20">
        <f>C9+C10+C11+C12</f>
        <v>1574378624.2656746</v>
      </c>
      <c r="D13" s="20">
        <f>D9+D10+D11+D12</f>
        <v>1516214132.5660152</v>
      </c>
      <c r="E13" s="20">
        <f>E9+E10+E11+E12</f>
        <v>1460198493.7804713</v>
      </c>
      <c r="F13" s="20">
        <f>F9+F10+F11+F12</f>
        <v>1406252319.8028073</v>
      </c>
    </row>
    <row r="14" spans="1:6" x14ac:dyDescent="0.25">
      <c r="A14" t="s">
        <v>50</v>
      </c>
      <c r="B14" s="21">
        <f>1/(1+Assumptions!$B$26)^(1-0.5*Assumptions!$B$32)</f>
        <v>0.9631523585963466</v>
      </c>
      <c r="C14" s="21">
        <f>1/(1+Assumptions!$B$26)^(2-0.5*Assumptions!$B$32)</f>
        <v>0.8934802919837097</v>
      </c>
      <c r="D14" s="21">
        <f>1/(1+Assumptions!$B$26)^(3-0.5*Assumptions!$B$32)</f>
        <v>0.8288481308675927</v>
      </c>
      <c r="E14" s="21">
        <f>1/(1+Assumptions!$B$26)^(4-0.5*Assumptions!$B$32)</f>
        <v>0.7688913009121274</v>
      </c>
      <c r="F14" s="21">
        <f>1/(1+Assumptions!$B$26)^(5-0.5*Assumptions!$B$32)</f>
        <v>0.7132716001899099</v>
      </c>
    </row>
    <row r="15" spans="1:6" x14ac:dyDescent="0.25">
      <c r="A15" s="19" t="s">
        <v>51</v>
      </c>
      <c r="B15" s="20">
        <f>B13*B14</f>
        <v>1574536821.488097</v>
      </c>
      <c r="C15" s="20">
        <f>C13*C14</f>
        <v>1406676272.901806</v>
      </c>
      <c r="D15" s="20">
        <f>D13*D14</f>
        <v>1256711249.77237</v>
      </c>
      <c r="E15" s="20">
        <f>E13*E14</f>
        <v>1122733919.4727957</v>
      </c>
      <c r="F15" s="20">
        <f>F13*F14</f>
        <v>1003039842.4165213</v>
      </c>
    </row>
    <row r="17" spans="1:2" x14ac:dyDescent="0.25">
      <c r="A17" s="22" t="s">
        <v>52</v>
      </c>
      <c r="B17" s="23">
        <f>SUM(B15:F15)</f>
        <v>6363698106.05159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1406252319.8028073</v>
      </c>
    </row>
    <row r="5" spans="1:2" x14ac:dyDescent="0.25">
      <c r="A5" t="s">
        <v>56</v>
      </c>
      <c r="B5" s="18">
        <f>IF(Assumptions!$B$33=0,B4,B4-Forecast!F11-Forecast!F10-Forecast!F12)</f>
        <v>2257130593.6908956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0.32060204879212467</v>
      </c>
    </row>
    <row r="7" spans="1:2" x14ac:dyDescent="0.25">
      <c r="A7" t="s">
        <v>58</v>
      </c>
      <c r="B7" s="18">
        <f>-MAX(Forecast!F9,0)*B6</f>
        <v>-723640692.7286859</v>
      </c>
    </row>
    <row r="8" spans="1:2" x14ac:dyDescent="0.25">
      <c r="A8" t="s">
        <v>59</v>
      </c>
      <c r="B8" s="18">
        <f>IF(OR(Assumptions!$B$33=0,Assumptions!B12&lt;=0),B5,MAX(B5+B7,0))</f>
        <v>1533489900.9622097</v>
      </c>
    </row>
    <row r="9" spans="1:2" x14ac:dyDescent="0.25">
      <c r="A9" t="s">
        <v>60</v>
      </c>
      <c r="B9" s="18">
        <f>B8*(1+Assumptions!B12)/(Assumptions!B26-Assumptions!B12)</f>
        <v>29669268401.87611</v>
      </c>
    </row>
    <row r="10" spans="1:2" x14ac:dyDescent="0.25">
      <c r="A10" t="s">
        <v>61</v>
      </c>
      <c r="B10" s="18">
        <f>B9/(1+Assumptions!B26)^(5-0.5*Assumptions!B32)</f>
        <v>21162246549.470104</v>
      </c>
    </row>
    <row r="11" spans="1:2" x14ac:dyDescent="0.25">
      <c r="A11" t="s">
        <v>62</v>
      </c>
      <c r="B11" s="18">
        <f>Forecast!B17+B10</f>
        <v>27525944655.521694</v>
      </c>
    </row>
    <row r="12" spans="1:2" x14ac:dyDescent="0.25">
      <c r="A12" t="s">
        <v>63</v>
      </c>
      <c r="B12" s="18">
        <f>-Assumptions!B30</f>
        <v>29217000000.000004</v>
      </c>
    </row>
    <row r="13" spans="1:2" x14ac:dyDescent="0.25">
      <c r="A13" t="s">
        <v>64</v>
      </c>
      <c r="B13" s="18">
        <f>B11+B12</f>
        <v>56742944655.5217</v>
      </c>
    </row>
    <row r="14" spans="1:2" x14ac:dyDescent="0.25">
      <c r="A14" s="19" t="s">
        <v>65</v>
      </c>
      <c r="B14" s="24">
        <f>B13/Assumptions!B31</f>
        <v>99.48793872074509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5780711636.649643</v>
      </c>
    </row>
    <row r="18" spans="1:2" x14ac:dyDescent="0.25">
      <c r="A18" t="s">
        <v>60</v>
      </c>
      <c r="B18" s="18">
        <f>B17*Assumptions!B13</f>
        <v>17342134909.94893</v>
      </c>
    </row>
    <row r="19" spans="1:2" x14ac:dyDescent="0.25">
      <c r="A19" t="s">
        <v>61</v>
      </c>
      <c r="B19" s="18">
        <f>B18/(1+Assumptions!B26)^(5-0.5*Assumptions!B32)</f>
        <v>12369652317.928572</v>
      </c>
    </row>
    <row r="20" spans="1:2" x14ac:dyDescent="0.25">
      <c r="A20" t="s">
        <v>62</v>
      </c>
      <c r="B20" s="18">
        <f>Forecast!B17+B19</f>
        <v>18733350423.980164</v>
      </c>
    </row>
    <row r="21" spans="1:2" x14ac:dyDescent="0.25">
      <c r="A21" t="s">
        <v>63</v>
      </c>
      <c r="B21" s="18">
        <f>-Assumptions!B30</f>
        <v>29217000000</v>
      </c>
    </row>
    <row r="22" spans="1:2" x14ac:dyDescent="0.25">
      <c r="A22" t="s">
        <v>64</v>
      </c>
      <c r="B22" s="18">
        <f>B20+B21</f>
        <v>47950350423.98016</v>
      </c>
    </row>
    <row r="23" spans="1:2" x14ac:dyDescent="0.25">
      <c r="A23" s="19" t="s">
        <v>65</v>
      </c>
      <c r="B23" s="25">
        <f>B22/Assumptions!B31</f>
        <v>84.07180053097531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99.48793872074509</v>
      </c>
    </row>
    <row r="29" spans="1:2" x14ac:dyDescent="0.25">
      <c r="A29" s="19" t="s">
        <v>73</v>
      </c>
      <c r="B29" s="12">
        <f>B28/B26-1</f>
        <v>0.32069479252283406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0.057978</v>
      </c>
      <c r="B5" s="31">
        <v>116.63553750648066</v>
      </c>
      <c r="C5" s="31">
        <v>116.90037359131088</v>
      </c>
      <c r="D5" s="31">
        <v>117.16520967614109</v>
      </c>
      <c r="E5" s="31">
        <v>117.43004576097132</v>
      </c>
      <c r="F5" s="31">
        <v>117.69488184580153</v>
      </c>
    </row>
    <row r="6" spans="1:6" x14ac:dyDescent="0.25">
      <c r="A6" s="30">
        <v>0.067978</v>
      </c>
      <c r="B6" s="31">
        <v>106.57652676893485</v>
      </c>
      <c r="C6" s="31">
        <v>106.79304102290999</v>
      </c>
      <c r="D6" s="31">
        <v>107.00955527688512</v>
      </c>
      <c r="E6" s="31">
        <v>107.22606953086027</v>
      </c>
      <c r="F6" s="31">
        <v>107.44258378483542</v>
      </c>
    </row>
    <row r="7" spans="1:6" x14ac:dyDescent="0.25">
      <c r="A7" s="30">
        <v>0.077978</v>
      </c>
      <c r="B7" s="31">
        <v>99.12613770253385</v>
      </c>
      <c r="C7" s="31">
        <v>99.30713355520962</v>
      </c>
      <c r="D7" s="32">
        <v>99.48812940788538</v>
      </c>
      <c r="E7" s="31">
        <v>99.66912526056115</v>
      </c>
      <c r="F7" s="31">
        <v>99.8501211132369</v>
      </c>
    </row>
    <row r="8" spans="1:6" x14ac:dyDescent="0.25">
      <c r="A8" s="30">
        <v>0.087978</v>
      </c>
      <c r="B8" s="31">
        <v>93.39328335949033</v>
      </c>
      <c r="C8" s="31">
        <v>93.54717699482572</v>
      </c>
      <c r="D8" s="31">
        <v>93.70107063016111</v>
      </c>
      <c r="E8" s="31">
        <v>93.8549642654965</v>
      </c>
      <c r="F8" s="31">
        <v>94.0088579008319</v>
      </c>
    </row>
    <row r="9" spans="1:6" x14ac:dyDescent="0.25">
      <c r="A9" s="30">
        <v>0.097978</v>
      </c>
      <c r="B9" s="31">
        <v>88.85076333885182</v>
      </c>
      <c r="C9" s="31">
        <v>88.98337609840635</v>
      </c>
      <c r="D9" s="31">
        <v>89.11598885796089</v>
      </c>
      <c r="E9" s="31">
        <v>89.2486016175154</v>
      </c>
      <c r="F9" s="31">
        <v>89.38121437706992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26774000000</v>
      </c>
      <c r="C5" s="18">
        <v>27270000000</v>
      </c>
      <c r="D5" s="18">
        <v>27938000000</v>
      </c>
      <c r="E5" s="18">
        <v>29975000000</v>
      </c>
      <c r="F5" s="8" t="s">
        <v>84</v>
      </c>
    </row>
    <row r="6" spans="1:6" x14ac:dyDescent="0.25">
      <c r="A6" t="s">
        <v>44</v>
      </c>
      <c r="B6" s="18">
        <v>3879000000</v>
      </c>
      <c r="C6" s="18">
        <v>3870000000</v>
      </c>
      <c r="D6" s="18">
        <v>2867000000</v>
      </c>
      <c r="E6" s="18">
        <v>3772000000</v>
      </c>
      <c r="F6" s="8" t="s">
        <v>85</v>
      </c>
    </row>
    <row r="7" spans="1:6" x14ac:dyDescent="0.25">
      <c r="A7" t="s">
        <v>86</v>
      </c>
      <c r="B7" s="18">
        <v>3455000000</v>
      </c>
      <c r="C7" s="18">
        <v>3597000000</v>
      </c>
      <c r="D7" s="18">
        <v>3841000000</v>
      </c>
      <c r="E7" s="18">
        <v>3861000000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3757000000</v>
      </c>
      <c r="C9" s="18">
        <v>2357000000</v>
      </c>
      <c r="D9" s="18">
        <v>1364000000</v>
      </c>
      <c r="E9" s="18">
        <v>5280000000</v>
      </c>
      <c r="F9" s="8" t="s">
        <v>90</v>
      </c>
    </row>
    <row r="10" spans="1:6" x14ac:dyDescent="0.25">
      <c r="A10" t="s">
        <v>91</v>
      </c>
      <c r="B10" s="18">
        <v>9191000000</v>
      </c>
      <c r="C10" s="18">
        <v>8922000000</v>
      </c>
      <c r="D10" s="18">
        <v>10606000000</v>
      </c>
      <c r="E10" s="18">
        <v>27179000000</v>
      </c>
      <c r="F10" s="8" t="s">
        <v>92</v>
      </c>
    </row>
    <row r="11" spans="1:6" x14ac:dyDescent="0.25">
      <c r="A11" t="s">
        <v>93</v>
      </c>
      <c r="B11" s="18">
        <v>38408000000</v>
      </c>
      <c r="C11" s="18">
        <v>79715000000</v>
      </c>
      <c r="D11" s="18">
        <v>79646000000</v>
      </c>
      <c r="E11" s="18">
        <v>240575000000</v>
      </c>
      <c r="F11" s="8" t="s">
        <v>94</v>
      </c>
    </row>
    <row r="12" spans="1:6" x14ac:dyDescent="0.25">
      <c r="A12" t="s">
        <v>32</v>
      </c>
      <c r="B12" s="34">
        <v>570349988</v>
      </c>
      <c r="C12" s="34">
        <v>657300000</v>
      </c>
      <c r="D12" s="34">
        <v>725200000</v>
      </c>
      <c r="E12" s="34">
        <v>787941750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8" ht="38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