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<sst xmlns="http://schemas.openxmlformats.org/spreadsheetml/2006/main" count="112" uniqueCount="100">
  <si>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Airbus SE (AIR.PA)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</si>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</sst>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0.0770523357185866</v>
      </c>
    </row>
    <row r="7" spans="1:2" x14ac:dyDescent="0.25">
      <c r="A7" t="s">
        <v>5</v>
      </c>
      <c r="B7" s="6">
        <v>0.07381676946510043</v>
      </c>
    </row>
    <row r="8" spans="1:2" x14ac:dyDescent="0.25">
      <c r="A8" t="s">
        <v>6</v>
      </c>
      <c r="B8" s="6">
        <v>0.2306482317724543</v>
      </c>
    </row>
    <row r="9" spans="1:2" x14ac:dyDescent="0.25">
      <c r="A9" t="s">
        <v>7</v>
      </c>
      <c r="B9" s="6">
        <v>0.04108989111256672</v>
      </c>
    </row>
    <row r="10" spans="1:2" x14ac:dyDescent="0.25">
      <c r="A10" t="s">
        <v>8</v>
      </c>
      <c r="B10" s="6">
        <v>0.04888443180234597</v>
      </c>
    </row>
    <row r="11" spans="1:2" x14ac:dyDescent="0.25">
      <c r="A11" t="s">
        <v>9</v>
      </c>
      <c r="B11" s="6">
        <v>-0.1803082448002394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17.41719559708448</v>
      </c>
    </row>
    <row r="14" spans="1:3" x14ac:dyDescent="0.25">
      <c r="A14" t="s">
        <v>12</v>
      </c>
      <c r="B14" s="6">
        <v>0.12376482992201544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0.91826</v>
      </c>
      <c r="C19" s="8" t="s">
        <v>19</v>
      </c>
    </row>
    <row r="20" spans="1:2" x14ac:dyDescent="0.25">
      <c r="A20" t="s">
        <v>20</v>
      </c>
      <c r="B20" s="10">
        <f>B17+B19*B18</f>
        <v>0.0870956</v>
      </c>
    </row>
    <row r="21" spans="1:3" x14ac:dyDescent="0.25">
      <c r="A21" t="s">
        <v>21</v>
      </c>
      <c r="B21" s="6">
        <v>0.0690644900887972</v>
      </c>
      <c r="C21" s="8" t="s">
        <v>22</v>
      </c>
    </row>
    <row r="22" spans="1:2" x14ac:dyDescent="0.25">
      <c r="A22" t="s">
        <v>23</v>
      </c>
      <c r="B22" s="11">
        <v>153056509952</v>
      </c>
    </row>
    <row r="23" spans="1:2" x14ac:dyDescent="0.25">
      <c r="A23" t="s">
        <v>24</v>
      </c>
      <c r="B23" s="11">
        <v>11023000000</v>
      </c>
    </row>
    <row r="24" spans="1:2" x14ac:dyDescent="0.25">
      <c r="A24" t="s">
        <v>25</v>
      </c>
      <c r="B24" s="10">
        <f>B22/(B22+B23)</f>
        <v>0.9328191557664655</v>
      </c>
    </row>
    <row r="25" spans="1:2" x14ac:dyDescent="0.25">
      <c r="A25" t="s">
        <v>26</v>
      </c>
      <c r="B25" s="10">
        <f>1-B24</f>
        <v>0.06718084423353454</v>
      </c>
    </row>
    <row r="26" spans="1:2" x14ac:dyDescent="0.25">
      <c r="A26" t="s">
        <v>27</v>
      </c>
      <c r="B26" s="12">
        <f>B24*B20+B25*B21*(1-B8)</f>
        <v>0.08481409066828444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73420000000</v>
      </c>
      <c r="C29" s="8" t="s">
        <v>30</v>
      </c>
    </row>
    <row r="30" spans="1:2" x14ac:dyDescent="0.25">
      <c r="A30" t="s">
        <v>31</v>
      </c>
      <c r="B30" s="11">
        <v>-7292000000</v>
      </c>
    </row>
    <row r="31" spans="1:2" x14ac:dyDescent="0.25">
      <c r="A31" t="s">
        <v>32</v>
      </c>
      <c r="B31" s="13">
        <v>790892128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0.0770523357185866</v>
      </c>
      <c r="C5" s="10">
        <f>Assumptions!B6</f>
        <v>0.0770523357185866</v>
      </c>
      <c r="D5" s="10">
        <f>Assumptions!B6</f>
        <v>0.0770523357185866</v>
      </c>
      <c r="E5" s="10">
        <f>Assumptions!B6</f>
        <v>0.0770523357185866</v>
      </c>
      <c r="F5" s="10">
        <f>Assumptions!B6</f>
        <v>0.0770523357185866</v>
      </c>
    </row>
    <row r="6" spans="1:6" x14ac:dyDescent="0.25">
      <c r="A6" t="s">
        <v>43</v>
      </c>
      <c r="B6" s="18">
        <f>Assumptions!B29*(1+B5)</f>
        <v>79077182488.45863</v>
      </c>
      <c r="C6" s="18">
        <f>B6*(1+C5)</f>
        <v>85170264101.23929</v>
      </c>
      <c r="D6" s="18">
        <f>C6*(1+D5)</f>
        <v>91732831884.00867</v>
      </c>
      <c r="E6" s="18">
        <f>D6*(1+E5)</f>
        <v>98801060842.75197</v>
      </c>
      <c r="F6" s="18">
        <f>E6*(1+F5)</f>
        <v>106413913352.1602</v>
      </c>
    </row>
    <row r="7" spans="1:6" x14ac:dyDescent="0.25">
      <c r="A7" t="s">
        <v>5</v>
      </c>
      <c r="B7" s="10">
        <f>Assumptions!B7</f>
        <v>0.07381676946510043</v>
      </c>
      <c r="C7" s="10">
        <f>Assumptions!B7</f>
        <v>0.07381676946510043</v>
      </c>
      <c r="D7" s="10">
        <f>Assumptions!B7</f>
        <v>0.07381676946510043</v>
      </c>
      <c r="E7" s="10">
        <f>Assumptions!B7</f>
        <v>0.07381676946510043</v>
      </c>
      <c r="F7" s="10">
        <f>Assumptions!B7</f>
        <v>0.07381676946510043</v>
      </c>
    </row>
    <row r="8" spans="1:6" x14ac:dyDescent="0.25">
      <c r="A8" t="s">
        <v>44</v>
      </c>
      <c r="B8" s="18">
        <f>B6*B7</f>
        <v>5837222149.700228</v>
      </c>
      <c r="C8" s="18">
        <f>C6*C7</f>
        <v>6286993750.4429</v>
      </c>
      <c r="D8" s="18">
        <f>D6*D7</f>
        <v>6771421303.562682</v>
      </c>
      <c r="E8" s="18">
        <f>E6*E7</f>
        <v>7293175131.136784</v>
      </c>
      <c r="F8" s="18">
        <f>F6*F7</f>
        <v>7855131309.795583</v>
      </c>
    </row>
    <row r="9" spans="1:6" x14ac:dyDescent="0.25">
      <c r="A9" t="s">
        <v>45</v>
      </c>
      <c r="B9" s="18">
        <f>B8*(1-Assumptions!B8)</f>
        <v>4490877182.408866</v>
      </c>
      <c r="C9" s="18">
        <f>C8*(1-Assumptions!B8)</f>
        <v>4836909758.738774</v>
      </c>
      <c r="D9" s="18">
        <f>D8*(1-Assumptions!B8)</f>
        <v>5209604953.309622</v>
      </c>
      <c r="E9" s="18">
        <f>E8*(1-Assumptions!B8)</f>
        <v>5611017183.133247</v>
      </c>
      <c r="F9" s="18">
        <f>F8*(1-Assumptions!B8)</f>
        <v>6043359162.850789</v>
      </c>
    </row>
    <row r="10" spans="1:6" x14ac:dyDescent="0.25">
      <c r="A10" t="s">
        <v>46</v>
      </c>
      <c r="B10" s="18">
        <f>B6*Assumptions!B9</f>
        <v>3249272817.9393334</v>
      </c>
      <c r="C10" s="18">
        <f>C6*Assumptions!B9</f>
        <v>3499636877.948473</v>
      </c>
      <c r="D10" s="18">
        <f>D6*Assumptions!B9</f>
        <v>3769292073.561305</v>
      </c>
      <c r="E10" s="18">
        <f>E6*Assumptions!B9</f>
        <v>4059724831.8347583</v>
      </c>
      <c r="F10" s="18">
        <f>F6*Assumptions!B9</f>
        <v>4372536112.502373</v>
      </c>
    </row>
    <row r="11" spans="1:6" x14ac:dyDescent="0.25">
      <c r="A11" t="s">
        <v>47</v>
      </c>
      <c r="B11" s="18">
        <f>-B6*Assumptions!B10</f>
        <v>-3865643134.4787235</v>
      </c>
      <c r="C11" s="18">
        <f>-C6*Assumptions!B10</f>
        <v>-4163499967.0448275</v>
      </c>
      <c r="D11" s="18">
        <f>-D6*Assumptions!B10</f>
        <v>-4484307364.26989</v>
      </c>
      <c r="E11" s="18">
        <f>-E6*Assumptions!B10</f>
        <v>-4829833720.766944</v>
      </c>
      <c r="F11" s="18">
        <f>-F6*Assumptions!B10</f>
        <v>-5201983690.084429</v>
      </c>
    </row>
    <row r="12" spans="1:6" x14ac:dyDescent="0.25">
      <c r="A12" t="s">
        <v>48</v>
      </c>
      <c r="B12" s="18">
        <f>-(B6-Assumptions!B29)*Assumptions!B11</f>
        <v>1020036645.0086268</v>
      </c>
      <c r="C12" s="18">
        <f>-(C6-B6)*Assumptions!B11</f>
        <v>1098632851.025092</v>
      </c>
      <c r="D12" s="18">
        <f>-(D6-C6)*Assumptions!B11</f>
        <v>1183285078.2937455</v>
      </c>
      <c r="E12" s="18">
        <f>-(E6-D6)*Assumptions!B11</f>
        <v>1274459957.3972285</v>
      </c>
      <c r="F12" s="18">
        <f>-(F6-E6)*Assumptions!B11</f>
        <v>1372660073.8944967</v>
      </c>
    </row>
    <row r="13" spans="1:6" x14ac:dyDescent="0.25">
      <c r="A13" s="19" t="s">
        <v>49</v>
      </c>
      <c r="B13" s="20">
        <f>B9+B10+B11+B12</f>
        <v>4894543510.878103</v>
      </c>
      <c r="C13" s="20">
        <f>C9+C10+C11+C12</f>
        <v>5271679520.667512</v>
      </c>
      <c r="D13" s="20">
        <f>D9+D10+D11+D12</f>
        <v>5677874740.894781</v>
      </c>
      <c r="E13" s="20">
        <f>E9+E10+E11+E12</f>
        <v>6115368251.59829</v>
      </c>
      <c r="F13" s="20">
        <f>F9+F10+F11+F12</f>
        <v>6586571659.163229</v>
      </c>
    </row>
    <row r="14" spans="1:6" x14ac:dyDescent="0.25">
      <c r="A14" t="s">
        <v>50</v>
      </c>
      <c r="B14" s="21">
        <f>1/(1+Assumptions!$B$26)^(1-0.5*Assumptions!$B$32)</f>
        <v>0.9601129802807229</v>
      </c>
      <c r="C14" s="21">
        <f>1/(1+Assumptions!$B$26)^(2-0.5*Assumptions!$B$32)</f>
        <v>0.8850484046434712</v>
      </c>
      <c r="D14" s="21">
        <f>1/(1+Assumptions!$B$26)^(3-0.5*Assumptions!$B$32)</f>
        <v>0.8158526076097053</v>
      </c>
      <c r="E14" s="21">
        <f>1/(1+Assumptions!$B$26)^(4-0.5*Assumptions!$B$32)</f>
        <v>0.7520667500798324</v>
      </c>
      <c r="F14" s="21">
        <f>1/(1+Assumptions!$B$26)^(5-0.5*Assumptions!$B$32)</f>
        <v>0.6932678664014517</v>
      </c>
    </row>
    <row r="15" spans="1:6" x14ac:dyDescent="0.25">
      <c r="A15" s="19" t="s">
        <v>51</v>
      </c>
      <c r="B15" s="20">
        <f>B13*B14</f>
        <v>4699314757.342849</v>
      </c>
      <c r="C15" s="20">
        <f>C13*C14</f>
        <v>4665691549.55844</v>
      </c>
      <c r="D15" s="20">
        <f>D13*D14</f>
        <v>4632308913.040287</v>
      </c>
      <c r="E15" s="20">
        <f>E13*E14</f>
        <v>4599165126.520913</v>
      </c>
      <c r="F15" s="20">
        <f>F13*F14</f>
        <v>4566258481.048361</v>
      </c>
    </row>
    <row r="17" spans="1:2" x14ac:dyDescent="0.25">
      <c r="A17" s="22" t="s">
        <v>52</v>
      </c>
      <c r="B17" s="23">
        <f>SUM(B15:F15)</f>
        <v>23162738827.51085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6586571659.163229</v>
      </c>
    </row>
    <row r="5" spans="1:2" x14ac:dyDescent="0.25">
      <c r="A5" t="s">
        <v>56</v>
      </c>
      <c r="B5" s="18">
        <f>IF(Assumptions!$B$33=0,B4,B4-Forecast!F11-Forecast!F10-Forecast!F12)</f>
        <v>6043359162.850789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0.20199599527388007</v>
      </c>
    </row>
    <row r="7" spans="1:2" x14ac:dyDescent="0.25">
      <c r="A7" t="s">
        <v>58</v>
      </c>
      <c r="B7" s="18">
        <f>-MAX(Forecast!F9,0)*B6</f>
        <v>-1220734348.8975677</v>
      </c>
    </row>
    <row r="8" spans="1:2" x14ac:dyDescent="0.25">
      <c r="A8" t="s">
        <v>59</v>
      </c>
      <c r="B8" s="18">
        <f>IF(OR(Assumptions!$B$33=0,Assumptions!B12&lt;=0),B5,MAX(B5+B7,0))</f>
        <v>4822624813.953221</v>
      </c>
    </row>
    <row r="9" spans="1:2" x14ac:dyDescent="0.25">
      <c r="A9" t="s">
        <v>60</v>
      </c>
      <c r="B9" s="18">
        <f>B8*(1+Assumptions!B12)/(Assumptions!B26-Assumptions!B12)</f>
        <v>82642574334.46376</v>
      </c>
    </row>
    <row r="10" spans="1:2" x14ac:dyDescent="0.25">
      <c r="A10" t="s">
        <v>61</v>
      </c>
      <c r="B10" s="18">
        <f>B9/(1+Assumptions!B26)^(5-0.5*Assumptions!B32)</f>
        <v>57293441182.77706</v>
      </c>
    </row>
    <row r="11" spans="1:2" x14ac:dyDescent="0.25">
      <c r="A11" t="s">
        <v>62</v>
      </c>
      <c r="B11" s="18">
        <f>Forecast!B17+B10</f>
        <v>80456180010.2879</v>
      </c>
    </row>
    <row r="12" spans="1:2" x14ac:dyDescent="0.25">
      <c r="A12" t="s">
        <v>63</v>
      </c>
      <c r="B12" s="18">
        <f>-Assumptions!B30</f>
        <v>7292000000</v>
      </c>
    </row>
    <row r="13" spans="1:2" x14ac:dyDescent="0.25">
      <c r="A13" t="s">
        <v>64</v>
      </c>
      <c r="B13" s="18">
        <f>B11+B12</f>
        <v>87748180010.2879</v>
      </c>
    </row>
    <row r="14" spans="1:2" x14ac:dyDescent="0.25">
      <c r="A14" s="19" t="s">
        <v>65</v>
      </c>
      <c r="B14" s="24">
        <f>B13/Assumptions!B31</f>
        <v>110.94835427453881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12227667422.297955</v>
      </c>
    </row>
    <row r="18" spans="1:2" x14ac:dyDescent="0.25">
      <c r="A18" t="s">
        <v>60</v>
      </c>
      <c r="B18" s="18">
        <f>B17*Assumptions!B13</f>
        <v>212971675190.26126</v>
      </c>
    </row>
    <row r="19" spans="1:2" x14ac:dyDescent="0.25">
      <c r="A19" t="s">
        <v>61</v>
      </c>
      <c r="B19" s="18">
        <f>B18/(1+Assumptions!B26)^(5-0.5*Assumptions!B32)</f>
        <v>147646418863.0954</v>
      </c>
    </row>
    <row r="20" spans="1:2" x14ac:dyDescent="0.25">
      <c r="A20" t="s">
        <v>62</v>
      </c>
      <c r="B20" s="18">
        <f>Forecast!B17+B19</f>
        <v>170809157690.60626</v>
      </c>
    </row>
    <row r="21" spans="1:2" x14ac:dyDescent="0.25">
      <c r="A21" t="s">
        <v>63</v>
      </c>
      <c r="B21" s="18">
        <f>-Assumptions!B30</f>
        <v>7292000000</v>
      </c>
    </row>
    <row r="22" spans="1:2" x14ac:dyDescent="0.25">
      <c r="A22" t="s">
        <v>64</v>
      </c>
      <c r="B22" s="18">
        <f>B20+B21</f>
        <v>178101157690.60626</v>
      </c>
    </row>
    <row r="23" spans="1:2" x14ac:dyDescent="0.25">
      <c r="A23" s="19" t="s">
        <v>65</v>
      </c>
      <c r="B23" s="25">
        <f>B22/Assumptions!B31</f>
        <v>225.1902015272129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193.38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110.94835427453881</v>
      </c>
    </row>
    <row r="29" spans="1:2" x14ac:dyDescent="0.25">
      <c r="A29" s="19" t="s">
        <v>73</v>
      </c>
      <c r="B29" s="12">
        <f>B28/B26-1</f>
        <v>-0.4262676891377659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0.064814</v>
      </c>
      <c r="B5" s="31">
        <v>143.04579157170986</v>
      </c>
      <c r="C5" s="31">
        <v>149.82185092076134</v>
      </c>
      <c r="D5" s="31">
        <v>158.2413915397566</v>
      </c>
      <c r="E5" s="31">
        <v>169.01252565507465</v>
      </c>
      <c r="F5" s="31">
        <v>183.31838543431593</v>
      </c>
    </row>
    <row r="6" spans="1:6" x14ac:dyDescent="0.25">
      <c r="A6" s="30">
        <v>0.074814</v>
      </c>
      <c r="B6" s="31">
        <v>121.55124923028684</v>
      </c>
      <c r="C6" s="31">
        <v>125.3547790752277</v>
      </c>
      <c r="D6" s="31">
        <v>129.87706512562096</v>
      </c>
      <c r="E6" s="31">
        <v>135.3586871797838</v>
      </c>
      <c r="F6" s="31">
        <v>142.16107689634245</v>
      </c>
    </row>
    <row r="7" spans="1:6" x14ac:dyDescent="0.25">
      <c r="A7" s="30">
        <v>0.084814</v>
      </c>
      <c r="B7" s="31">
        <v>106.18944062849907</v>
      </c>
      <c r="C7" s="31">
        <v>108.4019126860962</v>
      </c>
      <c r="D7" s="32">
        <v>110.94849741430706</v>
      </c>
      <c r="E7" s="31">
        <v>113.92062565304856</v>
      </c>
      <c r="F7" s="31">
        <v>117.44643713528652</v>
      </c>
    </row>
    <row r="8" spans="1:6" x14ac:dyDescent="0.25">
      <c r="A8" s="30">
        <v>0.094814</v>
      </c>
      <c r="B8" s="31">
        <v>94.65659611121325</v>
      </c>
      <c r="C8" s="31">
        <v>95.95198807755966</v>
      </c>
      <c r="D8" s="31">
        <v>97.40351467942696</v>
      </c>
      <c r="E8" s="31">
        <v>99.0473103867262</v>
      </c>
      <c r="F8" s="31">
        <v>100.931591947735</v>
      </c>
    </row>
    <row r="9" spans="1:6" x14ac:dyDescent="0.25">
      <c r="A9" s="30">
        <v>0.104814</v>
      </c>
      <c r="B9" s="31">
        <v>85.67487799365996</v>
      </c>
      <c r="C9" s="31">
        <v>86.41379821462924</v>
      </c>
      <c r="D9" s="31">
        <v>87.22060117956212</v>
      </c>
      <c r="E9" s="31">
        <v>88.10889719080123</v>
      </c>
      <c r="F9" s="31">
        <v>89.09619556874915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73420000000</v>
      </c>
      <c r="C5" s="18">
        <v>69230000000</v>
      </c>
      <c r="D5" s="18">
        <v>65446000000</v>
      </c>
      <c r="E5" s="18">
        <v>58763000000</v>
      </c>
      <c r="F5" s="8" t="s">
        <v>84</v>
      </c>
    </row>
    <row r="6" spans="1:6" x14ac:dyDescent="0.25">
      <c r="A6" t="s">
        <v>44</v>
      </c>
      <c r="B6" s="18">
        <v>5236000000</v>
      </c>
      <c r="C6" s="18">
        <v>4804000000</v>
      </c>
      <c r="D6" s="18">
        <v>4266000000</v>
      </c>
      <c r="E6" s="18">
        <v>5252000000</v>
      </c>
      <c r="F6" s="8" t="s">
        <v>85</v>
      </c>
    </row>
    <row r="7" spans="1:6" x14ac:dyDescent="0.25">
      <c r="A7" t="s">
        <v>86</v>
      </c>
      <c r="B7" s="18">
        <v>3133000000</v>
      </c>
      <c r="C7" s="18">
        <v>2853000000</v>
      </c>
      <c r="D7" s="18">
        <v>2242000000</v>
      </c>
      <c r="E7" s="18">
        <v>2716000000</v>
      </c>
      <c r="F7" s="8" t="s">
        <v>87</v>
      </c>
    </row>
    <row r="8" spans="1:6" x14ac:dyDescent="0.25">
      <c r="A8" t="s">
        <v>88</v>
      </c>
      <c r="B8" s="18">
        <v>3964000000</v>
      </c>
      <c r="C8" s="18">
        <v>3669000000</v>
      </c>
      <c r="D8" s="18">
        <v>3051000000</v>
      </c>
      <c r="E8" s="18">
        <v>2464000000</v>
      </c>
      <c r="F8" s="8" t="s">
        <v>89</v>
      </c>
    </row>
    <row r="9" spans="1:6" x14ac:dyDescent="0.25">
      <c r="A9" t="s">
        <v>90</v>
      </c>
      <c r="B9" s="18">
        <v>-100000000</v>
      </c>
      <c r="C9" s="18">
        <v>-1337000000</v>
      </c>
      <c r="D9" s="18">
        <v>-1205000000</v>
      </c>
      <c r="E9" s="18">
        <v>-1421000000</v>
      </c>
      <c r="F9" s="8" t="s">
        <v>91</v>
      </c>
    </row>
    <row r="10" spans="1:6" x14ac:dyDescent="0.25">
      <c r="A10" t="s">
        <v>92</v>
      </c>
      <c r="B10" s="18">
        <v>11023000000</v>
      </c>
      <c r="C10" s="18">
        <v>11275000000</v>
      </c>
      <c r="D10" s="18">
        <v>11322000000</v>
      </c>
      <c r="E10" s="18">
        <v>10983000000</v>
      </c>
      <c r="F10" s="8" t="s">
        <v>93</v>
      </c>
    </row>
    <row r="11" spans="1:6" x14ac:dyDescent="0.25">
      <c r="A11" t="s">
        <v>94</v>
      </c>
      <c r="B11" s="18">
        <v>18315000000</v>
      </c>
      <c r="C11" s="18">
        <v>19179000000</v>
      </c>
      <c r="D11" s="18">
        <v>18834000000</v>
      </c>
      <c r="E11" s="18">
        <v>18547000000</v>
      </c>
      <c r="F11" s="8" t="s">
        <v>95</v>
      </c>
    </row>
    <row r="12" spans="1:6" x14ac:dyDescent="0.25">
      <c r="A12" t="s">
        <v>32</v>
      </c>
      <c r="B12" s="34">
        <v>790892128</v>
      </c>
      <c r="C12" s="34">
        <v>790991077</v>
      </c>
      <c r="D12" s="34">
        <v>789760599</v>
      </c>
      <c r="E12" s="34">
        <v>787753485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