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cess Returns" state="visible" r:id="rId4"/>
    <sheet sheetId="2" name="Source data" state="visible" r:id="rId5"/>
  </sheets>
  <calcPr calcId="171027" fullCalcOnLoad="1"/>
</workbook>
</file>

<file path=xl/sharedStrings.xml><?xml version="1.0" encoding="utf-8"?>
<sst xmlns="http://schemas.openxmlformats.org/spreadsheetml/2006/main" count="70" uniqueCount="67">
  <si>
    <t>Assurant, Inc. (AIZ)</t>
  </si>
  <si>
    <t>DCF Studio - excess returns over book equity</t>
  </si>
  <si>
    <t>Inputs</t>
  </si>
  <si>
    <t>Risk-free rate</t>
  </si>
  <si>
    <t>US 10-year Treasury (^TNX), 2026-11-02</t>
  </si>
  <si>
    <t>Equity risk premium</t>
  </si>
  <si>
    <t>Damodaran, January 2026</t>
  </si>
  <si>
    <t>Beta</t>
  </si>
  <si>
    <t>Cost of equity</t>
  </si>
  <si>
    <t>Return on equity, median</t>
  </si>
  <si>
    <t>Payout, median</t>
  </si>
  <si>
    <t>Return on equity ceiling</t>
  </si>
  <si>
    <t>Terminal growth</t>
  </si>
  <si>
    <t>Book equity (USD m)</t>
  </si>
  <si>
    <t>Diluted shares</t>
  </si>
  <si>
    <t>Years</t>
  </si>
  <si>
    <t>Book growth, year 1</t>
  </si>
  <si>
    <t>Return on equity, final year</t>
  </si>
  <si>
    <t>USD m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</si>
  <si>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</si>
  <si>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</si>
  <si>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</si>
  <si>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</si>
  <si>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</si>
  <si>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</si>
  <si>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</si>
  <si>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</si>
  <si>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</si>
  <si>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</si>
  <si>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Year</t>
  </si>
  <si>
    <t>Return on equity</t>
  </si>
  <si>
    <t>Book growth</t>
  </si>
  <si>
    <t>Opening book equity</t>
  </si>
  <si>
    <t>Excess return</t>
  </si>
  <si>
    <t>Discount factor</t>
  </si>
  <si>
    <t>Present value</t>
  </si>
  <si>
    <t>Value (USD m, except per share)</t>
  </si>
  <si>
    <t>Book equity</t>
  </si>
  <si>
    <t>Present value of excess returns</t>
  </si>
  <si>
    <t>Book equity after the final year</t>
  </si>
  <si>
    <t>Excess return after the final year</t>
  </si>
  <si>
    <t>Terminal value</t>
  </si>
  <si>
    <t>Terminal value, discounted</t>
  </si>
  <si>
    <t>Equity value</t>
  </si>
  <si>
    <t>Value per share (USD)</t>
  </si>
  <si>
    <t>Against the market</t>
  </si>
  <si>
    <t>Market price (USD)</t>
  </si>
  <si>
    <t>Conversion, USD to USD</t>
  </si>
  <si>
    <t>Implied upside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</si>
  <si>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</si>
  <si>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</si>
  <si>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</si>
  <si>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</si>
  <si>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</si>
  <si>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</si>
  <si>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</si>
  <si>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Net income to common</t>
  </si>
  <si>
    <t>netIncomeCommonStockholders</t>
  </si>
  <si>
    <t>commonStockEquity</t>
  </si>
  <si>
    <t>Dividends paid</t>
  </si>
  <si>
    <t>cashDividendsPaid</t>
  </si>
  <si>
    <t>dilutedAverageShares</t>
  </si>
  <si>
    <t>Return on opening equity</t>
  </si>
  <si>
    <t>Payout</t>
  </si>
  <si>
    <t>Model notes</t>
  </si>
  <si>
    <t>Note: A financial, valued on excess returns over book equity.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</si>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</sst>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#,##0.0,,;[Red](#,##0.0,,)"/>
    <numFmt numFmtId="166" formatCode="0.0000"/>
    <numFmt numFmtId="167" formatCode="#,##0.00;[Red](#,##0.00)"/>
  </numFmts>
  <fonts count="9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0" fontId="0" fillId="0" borderId="0" xfId="0" applyNumberFormat="1"/>
    <xf numFmtId="165" fontId="0" fillId="0" borderId="0" xfId="0" applyNumberFormat="1"/>
    <xf numFmtId="3" fontId="0" fillId="0" borderId="0" xfId="0" applyNumberFormat="1"/>
    <xf numFmtId="1" fontId="0" fillId="0" borderId="0" xfId="0" applyNumberForma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5" fontId="6" fillId="0" borderId="0" xfId="0" applyNumberFormat="1" applyFont="1"/>
    <xf numFmtId="167" fontId="6" fillId="0" borderId="0" xfId="0" applyNumberFormat="1" applyFont="1"/>
    <xf numFmtId="167" fontId="4" fillId="2" borderId="0" xfId="0" applyNumberFormat="1" applyFont="1" applyFill="1"/>
    <xf numFmtId="166" fontId="4" fillId="2" borderId="0" xfId="0" applyNumberFormat="1" applyFont="1" applyFill="1"/>
    <xf numFmtId="167" fontId="0" fillId="0" borderId="0" xfId="0" applyNumberFormat="1"/>
    <xf numFmtId="10" fontId="6" fillId="0" borderId="0" xfId="0" applyNumberFormat="1" applyFont="1"/>
    <xf numFmtId="0" fontId="7" fillId="0" borderId="0" xfId="0" applyFont="1"/>
    <xf numFmtId="0" fontId="8" fillId="0" borderId="1" xfId="0" applyFont="1" applyBorder="1" applyAlignment="1">
      <alignment indent="1"/>
    </xf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11" width="13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3" x14ac:dyDescent="0.25">
      <c r="A6" t="s">
        <v>3</v>
      </c>
      <c r="B6" s="5">
        <v>0.048940000000000004</v>
      </c>
      <c r="C6" s="6" t="s">
        <v>4</v>
      </c>
    </row>
    <row r="7" spans="1:3" x14ac:dyDescent="0.25">
      <c r="A7" t="s">
        <v>5</v>
      </c>
      <c r="B7" s="5">
        <v>0.0423</v>
      </c>
      <c r="C7" s="6" t="s">
        <v>6</v>
      </c>
    </row>
    <row r="8" spans="1:2" x14ac:dyDescent="0.25">
      <c r="A8" t="s">
        <v>7</v>
      </c>
      <c r="B8" s="7">
        <v>0.6703600000000001</v>
      </c>
    </row>
    <row r="9" spans="1:2" x14ac:dyDescent="0.25">
      <c r="A9" t="s">
        <v>8</v>
      </c>
      <c r="B9" s="8">
        <f>B6+B8*B7</f>
        <v>0.07729622800000001</v>
      </c>
    </row>
    <row r="10" spans="1:2" x14ac:dyDescent="0.25">
      <c r="A10" t="s">
        <v>9</v>
      </c>
      <c r="B10" s="8">
        <f>MEDIAN('Source data'!B9:E9)</f>
        <v>0.15646117059985445</v>
      </c>
    </row>
    <row r="11" spans="1:2" x14ac:dyDescent="0.25">
      <c r="A11" t="s">
        <v>10</v>
      </c>
      <c r="B11" s="8">
        <f>IFERROR(MIN(MAX(MEDIAN('Source data'!B10:E10),0),1),0)</f>
        <v>0.20717607973421928</v>
      </c>
    </row>
    <row r="12" spans="1:2" x14ac:dyDescent="0.25">
      <c r="A12" t="s">
        <v>11</v>
      </c>
      <c r="B12" s="5">
        <v>0.2</v>
      </c>
    </row>
    <row r="13" spans="1:2" x14ac:dyDescent="0.25">
      <c r="A13" t="s">
        <v>12</v>
      </c>
      <c r="B13" s="5">
        <v>0.025</v>
      </c>
    </row>
    <row r="14" spans="1:2" x14ac:dyDescent="0.25">
      <c r="A14" t="s">
        <v>13</v>
      </c>
      <c r="B14" s="9">
        <f>'Source data'!B6</f>
        <v>5871600000</v>
      </c>
    </row>
    <row r="15" spans="1:2" x14ac:dyDescent="0.25">
      <c r="A15" t="s">
        <v>14</v>
      </c>
      <c r="B15" s="10">
        <f>'Source data'!B8</f>
        <v>51086649</v>
      </c>
    </row>
    <row r="16" spans="1:2" x14ac:dyDescent="0.25">
      <c r="A16" t="s">
        <v>15</v>
      </c>
      <c r="B16" s="11">
        <f>COUNT(B21:K21)</f>
        <v>10</v>
      </c>
    </row>
    <row r="17" spans="1:2" x14ac:dyDescent="0.25">
      <c r="A17" t="s">
        <v>16</v>
      </c>
      <c r="B17" s="8">
        <f>MIN(MAX(B10*(1-B11),0),0.2)</f>
        <v>0.12404615864434973</v>
      </c>
    </row>
    <row r="18" spans="1:2" x14ac:dyDescent="0.25">
      <c r="A18" t="s">
        <v>17</v>
      </c>
      <c r="B18" s="8">
        <f>MIN(B10,B12)</f>
        <v>0.15646117059985445</v>
      </c>
    </row>
    <row r="20" spans="1:11" x14ac:dyDescent="0.25">
      <c r="A20" s="12" t="s">
        <v>18</v>
      </c>
      <c r="B20" s="13" t="s">
        <v>19</v>
      </c>
      <c r="C20" s="13" t="s">
        <v>20</v>
      </c>
      <c r="D20" s="13" t="s">
        <v>21</v>
      </c>
      <c r="E20" s="13" t="s">
        <v>22</v>
      </c>
      <c r="F20" s="13" t="s">
        <v>23</v>
      </c>
      <c r="G20" s="13" t="s">
        <v>24</v>
      </c>
      <c r="H20" s="13" t="s">
        <v>25</v>
      </c>
      <c r="I20" s="13" t="s">
        <v>26</v>
      </c>
      <c r="J20" s="13" t="s">
        <v>27</v>
      </c>
      <c r="K20" s="13" t="s">
        <v>28</v>
      </c>
    </row>
    <row r="21" spans="1:11" x14ac:dyDescent="0.25">
      <c r="A21" t="s">
        <v>29</v>
      </c>
      <c r="B21" s="11">
        <f>1</f>
        <v>1</v>
      </c>
      <c r="C21" s="11">
        <f>B21+1</f>
        <v>2</v>
      </c>
      <c r="D21" s="11">
        <f>C21+1</f>
        <v>3</v>
      </c>
      <c r="E21" s="11">
        <f>D21+1</f>
        <v>4</v>
      </c>
      <c r="F21" s="11">
        <f>E21+1</f>
        <v>5</v>
      </c>
      <c r="G21" s="11">
        <f>F21+1</f>
        <v>6</v>
      </c>
      <c r="H21" s="11">
        <f>G21+1</f>
        <v>7</v>
      </c>
      <c r="I21" s="11">
        <f>H21+1</f>
        <v>8</v>
      </c>
      <c r="J21" s="11">
        <f>I21+1</f>
        <v>9</v>
      </c>
      <c r="K21" s="11">
        <f>J21+1</f>
        <v>10</v>
      </c>
    </row>
    <row r="22" spans="1:11" x14ac:dyDescent="0.25">
      <c r="A22" t="s">
        <v>30</v>
      </c>
      <c r="B22" s="8">
        <f>$B$10+($B$18-$B$10)*B21/$B$16</f>
        <v>0.15646117059985445</v>
      </c>
      <c r="C22" s="8">
        <f>$B$10+($B$18-$B$10)*C21/$B$16</f>
        <v>0.15646117059985445</v>
      </c>
      <c r="D22" s="8">
        <f>$B$10+($B$18-$B$10)*D21/$B$16</f>
        <v>0.15646117059985445</v>
      </c>
      <c r="E22" s="8">
        <f>$B$10+($B$18-$B$10)*E21/$B$16</f>
        <v>0.15646117059985445</v>
      </c>
      <c r="F22" s="8">
        <f>$B$10+($B$18-$B$10)*F21/$B$16</f>
        <v>0.15646117059985445</v>
      </c>
      <c r="G22" s="8">
        <f>$B$10+($B$18-$B$10)*G21/$B$16</f>
        <v>0.15646117059985445</v>
      </c>
      <c r="H22" s="8">
        <f>$B$10+($B$18-$B$10)*H21/$B$16</f>
        <v>0.15646117059985445</v>
      </c>
      <c r="I22" s="8">
        <f>$B$10+($B$18-$B$10)*I21/$B$16</f>
        <v>0.15646117059985445</v>
      </c>
      <c r="J22" s="8">
        <f>$B$10+($B$18-$B$10)*J21/$B$16</f>
        <v>0.15646117059985445</v>
      </c>
      <c r="K22" s="8">
        <f>$B$10+($B$18-$B$10)*K21/$B$16</f>
        <v>0.15646117059985445</v>
      </c>
    </row>
    <row r="23" spans="1:11" x14ac:dyDescent="0.25">
      <c r="A23" t="s">
        <v>31</v>
      </c>
      <c r="B23" s="8">
        <f>$B$17+($B$13-$B$17)*B21/$B$16</f>
        <v>0.11414154277991476</v>
      </c>
      <c r="C23" s="8">
        <f>$B$17+($B$13-$B$17)*C21/$B$16</f>
        <v>0.10423692691547978</v>
      </c>
      <c r="D23" s="8">
        <f>$B$17+($B$13-$B$17)*D21/$B$16</f>
        <v>0.09433231105104481</v>
      </c>
      <c r="E23" s="8">
        <f>$B$17+($B$13-$B$17)*E21/$B$16</f>
        <v>0.08442769518660984</v>
      </c>
      <c r="F23" s="8">
        <f>$B$17+($B$13-$B$17)*F21/$B$16</f>
        <v>0.07452307932217486</v>
      </c>
      <c r="G23" s="8">
        <f>$B$17+($B$13-$B$17)*G21/$B$16</f>
        <v>0.06461846345773989</v>
      </c>
      <c r="H23" s="8">
        <f>$B$17+($B$13-$B$17)*H21/$B$16</f>
        <v>0.054713847593304915</v>
      </c>
      <c r="I23" s="8">
        <f>$B$17+($B$13-$B$17)*I21/$B$16</f>
        <v>0.04480923172886994</v>
      </c>
      <c r="J23" s="8">
        <f>$B$17+($B$13-$B$17)*J21/$B$16</f>
        <v>0.03490461586443497</v>
      </c>
      <c r="K23" s="8">
        <f>$B$17+($B$13-$B$17)*K21/$B$16</f>
        <v>0.024999999999999994</v>
      </c>
    </row>
    <row r="24" spans="1:11" x14ac:dyDescent="0.25">
      <c r="A24" t="s">
        <v>32</v>
      </c>
      <c r="B24" s="9">
        <f>$B$14</f>
        <v>5871600000</v>
      </c>
      <c r="C24" s="9">
        <f>B24*(1+B23)</f>
        <v>6541793482.586548</v>
      </c>
      <c r="D24" s="9">
        <f>C24*(1+C23)</f>
        <v>7223689931.727083</v>
      </c>
      <c r="E24" s="9">
        <f>D24*(1+D23)</f>
        <v>7905117297.303062</v>
      </c>
      <c r="F24" s="9">
        <f>E24*(1+E23)</f>
        <v>8572528130.894162</v>
      </c>
      <c r="G24" s="9">
        <f>F24*(1+F23)</f>
        <v>9211379324.784365</v>
      </c>
      <c r="H24" s="9">
        <f>G24*(1+G23)</f>
        <v>9806604503.078325</v>
      </c>
      <c r="I24" s="9">
        <f>H24*(1+H23)</f>
        <v>10343161567.26757</v>
      </c>
      <c r="J24" s="9">
        <f>I24*(1+I23)</f>
        <v>10806630690.744406</v>
      </c>
      <c r="K24" s="9">
        <f>J24*(1+J23)</f>
        <v>11183831983.793653</v>
      </c>
    </row>
    <row r="25" spans="1:11" x14ac:dyDescent="0.25">
      <c r="A25" t="s">
        <v>33</v>
      </c>
      <c r="B25" s="9">
        <f>(B22-$B$9)*B24</f>
        <v>464824876.96930534</v>
      </c>
      <c r="C25" s="9">
        <f>(C22-$B$9)*C24</f>
        <v>517880705.54906595</v>
      </c>
      <c r="D25" s="9">
        <f>(D22-$B$9)*D24</f>
        <v>571862998.804321</v>
      </c>
      <c r="E25" s="9">
        <f>(E22-$B$9)*E24</f>
        <v>625808157.0861135</v>
      </c>
      <c r="F25" s="9">
        <f>(F22-$B$9)*F24</f>
        <v>678643697.4178739</v>
      </c>
      <c r="G25" s="9">
        <f>(G22-$B$9)*G24</f>
        <v>729218315.5120403</v>
      </c>
      <c r="H25" s="9">
        <f>(H22-$B$9)*H24</f>
        <v>776339282.5856698</v>
      </c>
      <c r="I25" s="9">
        <f>(I22-$B$9)*I24</f>
        <v>818815791.7737578</v>
      </c>
      <c r="J25" s="9">
        <f>(J22-$B$9)*J24</f>
        <v>855506298.3306063</v>
      </c>
      <c r="K25" s="9">
        <f>(K22-$B$9)*K24</f>
        <v>885367417.0434408</v>
      </c>
    </row>
    <row r="26" spans="1:11" x14ac:dyDescent="0.25">
      <c r="A26" t="s">
        <v>34</v>
      </c>
      <c r="B26" s="14">
        <f>1/(1+$B$9)^B21</f>
        <v>0.9282497924052882</v>
      </c>
      <c r="C26" s="14">
        <f>1/(1+$B$9)^C21</f>
        <v>0.8616476771004605</v>
      </c>
      <c r="D26" s="14">
        <f>1/(1+$B$9)^D21</f>
        <v>0.7998242773950013</v>
      </c>
      <c r="E26" s="14">
        <f>1/(1+$B$9)^E21</f>
        <v>0.7424367194526196</v>
      </c>
      <c r="F26" s="14">
        <f>1/(1+$B$9)^F21</f>
        <v>0.6891667307059572</v>
      </c>
      <c r="G26" s="14">
        <f>1/(1+$B$9)^G21</f>
        <v>0.639718874710436</v>
      </c>
      <c r="H26" s="14">
        <f>1/(1+$B$9)^H21</f>
        <v>0.5938189126477067</v>
      </c>
      <c r="I26" s="14">
        <f>1/(1+$B$9)^I21</f>
        <v>0.5512122823915677</v>
      </c>
      <c r="J26" s="14">
        <f>1/(1+$B$9)^J21</f>
        <v>0.5116626867012177</v>
      </c>
      <c r="K26" s="14">
        <f>1/(1+$B$9)^K21</f>
        <v>0.47495078271193736</v>
      </c>
    </row>
    <row r="27" spans="1:11" x14ac:dyDescent="0.25">
      <c r="A27" s="15" t="s">
        <v>35</v>
      </c>
      <c r="B27" s="16">
        <f>B25*B26</f>
        <v>431473595.5515713</v>
      </c>
      <c r="C27" s="16">
        <f>C25*C26</f>
        <v>446230706.95150024</v>
      </c>
      <c r="D27" s="16">
        <f>D25*D26</f>
        <v>457389909.7876046</v>
      </c>
      <c r="E27" s="16">
        <f>E25*E26</f>
        <v>464622955.1537037</v>
      </c>
      <c r="F27" s="16">
        <f>F25*F26</f>
        <v>467698658.263679</v>
      </c>
      <c r="G27" s="16">
        <f>G25*G26</f>
        <v>466494720.2176021</v>
      </c>
      <c r="H27" s="16">
        <f>H25*H26</f>
        <v>461004948.6307231</v>
      </c>
      <c r="I27" s="16">
        <f>I25*I26</f>
        <v>451341321.44187164</v>
      </c>
      <c r="J27" s="16">
        <f>J25*J26</f>
        <v>437730651.0936516</v>
      </c>
      <c r="K27" s="16">
        <f>K25*K26</f>
        <v>420505947.7124285</v>
      </c>
    </row>
    <row r="29" spans="1:3" x14ac:dyDescent="0.25">
      <c r="A29" s="3" t="s">
        <v>36</v>
      </c>
      <c r="B29" s="4"/>
      <c r="C29" s="4"/>
    </row>
    <row r="30" spans="1:2" x14ac:dyDescent="0.25">
      <c r="A30" t="s">
        <v>37</v>
      </c>
      <c r="B30" s="9">
        <f>B14</f>
        <v>5871600000</v>
      </c>
    </row>
    <row r="31" spans="1:2" x14ac:dyDescent="0.25">
      <c r="A31" t="s">
        <v>38</v>
      </c>
      <c r="B31" s="9">
        <f>SUM(B27:K27)</f>
        <v>4504493414.804336</v>
      </c>
    </row>
    <row r="32" spans="1:2" x14ac:dyDescent="0.25">
      <c r="A32" t="s">
        <v>39</v>
      </c>
      <c r="B32" s="9">
        <f>K24*(1+K23)</f>
        <v>11463427783.388494</v>
      </c>
    </row>
    <row r="33" spans="1:2" x14ac:dyDescent="0.25">
      <c r="A33" t="s">
        <v>40</v>
      </c>
      <c r="B33" s="9">
        <f>(B18-B9)*B32</f>
        <v>907501602.4695269</v>
      </c>
    </row>
    <row r="34" spans="1:2" x14ac:dyDescent="0.25">
      <c r="A34" t="s">
        <v>41</v>
      </c>
      <c r="B34" s="9">
        <f>B33/(B9-B13)</f>
        <v>17353098630.163666</v>
      </c>
    </row>
    <row r="35" spans="1:2" x14ac:dyDescent="0.25">
      <c r="A35" t="s">
        <v>42</v>
      </c>
      <c r="B35" s="9">
        <f>B34*K26</f>
        <v>8241867776.873681</v>
      </c>
    </row>
    <row r="36" spans="1:2" x14ac:dyDescent="0.25">
      <c r="A36" s="15" t="s">
        <v>43</v>
      </c>
      <c r="B36" s="16">
        <f>B30+B31+B35</f>
        <v>18617961191.678017</v>
      </c>
    </row>
    <row r="37" spans="1:2" x14ac:dyDescent="0.25">
      <c r="A37" s="15" t="s">
        <v>44</v>
      </c>
      <c r="B37" s="17">
        <f>B36/B15</f>
        <v>364.43888092323334</v>
      </c>
    </row>
    <row r="39" spans="1:3" x14ac:dyDescent="0.25">
      <c r="A39" s="3" t="s">
        <v>45</v>
      </c>
      <c r="B39" s="4"/>
      <c r="C39" s="4"/>
    </row>
    <row r="40" spans="1:2" x14ac:dyDescent="0.25">
      <c r="A40" t="s">
        <v>46</v>
      </c>
      <c r="B40" s="18">
        <v>297.23</v>
      </c>
    </row>
    <row r="41" spans="1:2" x14ac:dyDescent="0.25">
      <c r="A41" t="s">
        <v>47</v>
      </c>
      <c r="B41" s="19">
        <v>1</v>
      </c>
    </row>
    <row r="42" spans="1:2" x14ac:dyDescent="0.25">
      <c r="A42" t="s">
        <v>44</v>
      </c>
      <c r="B42" s="20">
        <f>B37*B41</f>
        <v>364.43888092323334</v>
      </c>
    </row>
    <row r="43" spans="1:2" x14ac:dyDescent="0.25">
      <c r="A43" s="15" t="s">
        <v>48</v>
      </c>
      <c r="B43" s="21">
        <f>B42/B40-1</f>
        <v>0.22611742059426487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22" t="s">
        <v>49</v>
      </c>
    </row>
    <row r="4" spans="1:6" x14ac:dyDescent="0.25">
      <c r="A4" s="12" t="s">
        <v>50</v>
      </c>
      <c r="B4" s="13" t="s">
        <v>51</v>
      </c>
      <c r="C4" s="13" t="s">
        <v>52</v>
      </c>
      <c r="D4" s="13" t="s">
        <v>53</v>
      </c>
      <c r="E4" s="13" t="s">
        <v>54</v>
      </c>
      <c r="F4" s="23" t="s">
        <v>55</v>
      </c>
    </row>
    <row r="5" spans="1:6" x14ac:dyDescent="0.25">
      <c r="A5" t="s">
        <v>56</v>
      </c>
      <c r="B5" s="9">
        <v>865000000</v>
      </c>
      <c r="C5" s="9">
        <v>752500000</v>
      </c>
      <c r="D5" s="9">
        <v>635500000</v>
      </c>
      <c r="E5" s="9">
        <v>276600000</v>
      </c>
      <c r="F5" s="6" t="s">
        <v>57</v>
      </c>
    </row>
    <row r="6" spans="1:6" x14ac:dyDescent="0.25">
      <c r="A6" t="s">
        <v>37</v>
      </c>
      <c r="B6" s="9">
        <v>5871600000</v>
      </c>
      <c r="C6" s="9">
        <v>5106700000</v>
      </c>
      <c r="D6" s="9">
        <v>4809500000</v>
      </c>
      <c r="E6" s="9">
        <v>4228700000</v>
      </c>
      <c r="F6" s="6" t="s">
        <v>58</v>
      </c>
    </row>
    <row r="7" spans="1:6" x14ac:dyDescent="0.25">
      <c r="A7" t="s">
        <v>59</v>
      </c>
      <c r="B7" s="9">
        <v>168400000</v>
      </c>
      <c r="C7" s="9">
        <v>155900000</v>
      </c>
      <c r="D7" s="9">
        <v>152300000</v>
      </c>
      <c r="E7" s="9">
        <v>150200000</v>
      </c>
      <c r="F7" s="6" t="s">
        <v>60</v>
      </c>
    </row>
    <row r="8" spans="1:6" x14ac:dyDescent="0.25">
      <c r="A8" t="s">
        <v>14</v>
      </c>
      <c r="B8" s="10">
        <v>51086649</v>
      </c>
      <c r="C8" s="10">
        <v>52581102</v>
      </c>
      <c r="D8" s="10">
        <v>53783069</v>
      </c>
      <c r="E8" s="10">
        <v>54782528</v>
      </c>
      <c r="F8" s="6" t="s">
        <v>61</v>
      </c>
    </row>
    <row r="9" spans="1:5" x14ac:dyDescent="0.25">
      <c r="A9" t="s">
        <v>62</v>
      </c>
      <c r="B9" s="8">
        <f>IF(AND(ISNUMBER(B5),N(C6)&gt;0),B5/C6,"")</f>
        <v>0.16938531732821588</v>
      </c>
      <c r="C9" s="8">
        <f>IF(AND(ISNUMBER(C5),N(D6)&gt;0),C5/D6,"")</f>
        <v>0.15646117059985445</v>
      </c>
      <c r="D9" s="8">
        <f>IF(AND(ISNUMBER(D5),N(E6)&gt;0),D5/E6,"")</f>
        <v>0.15028259275900394</v>
      </c>
      <c r="E9" s="8" t="str">
        <f>""</f>
        <v/>
      </c>
    </row>
    <row r="10" spans="1:5" x14ac:dyDescent="0.25">
      <c r="A10" t="s">
        <v>63</v>
      </c>
      <c r="B10" s="8">
        <f>IF(AND(ISNUMBER(B9),N(B5)&gt;0,ISNUMBER(B7)),B7/B5,"")</f>
        <v>0.1946820809248555</v>
      </c>
      <c r="C10" s="8">
        <f>IF(AND(ISNUMBER(C9),N(C5)&gt;0,ISNUMBER(C7)),C7/C5,"")</f>
        <v>0.20717607973421928</v>
      </c>
      <c r="D10" s="8">
        <f>IF(AND(ISNUMBER(D9),N(D5)&gt;0,ISNUMBER(D7)),D7/D5,"")</f>
        <v>0.23965381589299764</v>
      </c>
      <c r="E10" s="8" t="str">
        <f>IF(AND(ISNUMBER(E9),N(E5)&gt;0,ISNUMBER(E7)),E7/E5,"")</f>
        <v/>
      </c>
    </row>
    <row r="13" spans="1:1" x14ac:dyDescent="0.25">
      <c r="A13" s="15" t="s">
        <v>64</v>
      </c>
    </row>
    <row r="14" ht="22" customHeight="1" spans="1:6" x14ac:dyDescent="0.25">
      <c r="A14" s="24" t="s">
        <v>65</v>
      </c>
      <c r="B14" s="24"/>
      <c r="C14" s="24"/>
      <c r="D14" s="24"/>
      <c r="E14" s="24"/>
      <c r="F14" s="24"/>
    </row>
    <row r="16" spans="1:1" x14ac:dyDescent="0.25">
      <c r="A16" s="25" t="s">
        <v>66</v>
      </c>
    </row>
  </sheetData>
  <mergeCells count="1">
    <mergeCell ref="A14:F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Excess Returns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