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<sst xmlns="http://schemas.openxmlformats.org/spreadsheetml/2006/main" count="70" uniqueCount="67">
  <si>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Arthur J. Gallagher &amp; Co. (AJG)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</si>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</sst>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0.64088</v>
      </c>
    </row>
    <row r="9" spans="1:2" x14ac:dyDescent="0.25">
      <c r="A9" t="s">
        <v>8</v>
      </c>
      <c r="B9" s="8">
        <f>B6+B8*B7</f>
        <v>0.076049224</v>
      </c>
    </row>
    <row r="10" spans="1:2" x14ac:dyDescent="0.25">
      <c r="A10" t="s">
        <v>9</v>
      </c>
      <c r="B10" s="8">
        <f>MEDIAN('Source data'!B9:E9)</f>
        <v>0.10608513058314012</v>
      </c>
    </row>
    <row r="11" spans="1:2" x14ac:dyDescent="0.25">
      <c r="A11" t="s">
        <v>10</v>
      </c>
      <c r="B11" s="8">
        <f>IFERROR(MIN(MAX(MEDIAN('Source data'!B10:E10),0),1),0)</f>
        <v>0.4464524765729585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23321000000</v>
      </c>
    </row>
    <row r="15" spans="1:2" x14ac:dyDescent="0.25">
      <c r="A15" t="s">
        <v>14</v>
      </c>
      <c r="B15" s="10">
        <f>'Source data'!B8</f>
        <v>260134000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0.05872316130673151</v>
      </c>
    </row>
    <row r="18" spans="1:2" x14ac:dyDescent="0.25">
      <c r="A18" t="s">
        <v>17</v>
      </c>
      <c r="B18" s="8">
        <f>MIN(B10,B12)</f>
        <v>0.10608513058314012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0.10608513058314012</v>
      </c>
      <c r="C22" s="8">
        <f>$B$10+($B$18-$B$10)*C21/$B$16</f>
        <v>0.10608513058314012</v>
      </c>
      <c r="D22" s="8">
        <f>$B$10+($B$18-$B$10)*D21/$B$16</f>
        <v>0.10608513058314012</v>
      </c>
      <c r="E22" s="8">
        <f>$B$10+($B$18-$B$10)*E21/$B$16</f>
        <v>0.10608513058314012</v>
      </c>
      <c r="F22" s="8">
        <f>$B$10+($B$18-$B$10)*F21/$B$16</f>
        <v>0.10608513058314012</v>
      </c>
      <c r="G22" s="8">
        <f>$B$10+($B$18-$B$10)*G21/$B$16</f>
        <v>0.10608513058314012</v>
      </c>
      <c r="H22" s="8">
        <f>$B$10+($B$18-$B$10)*H21/$B$16</f>
        <v>0.10608513058314012</v>
      </c>
      <c r="I22" s="8">
        <f>$B$10+($B$18-$B$10)*I21/$B$16</f>
        <v>0.10608513058314012</v>
      </c>
      <c r="J22" s="8">
        <f>$B$10+($B$18-$B$10)*J21/$B$16</f>
        <v>0.10608513058314012</v>
      </c>
      <c r="K22" s="8">
        <f>$B$10+($B$18-$B$10)*K21/$B$16</f>
        <v>0.10608513058314012</v>
      </c>
    </row>
    <row r="23" spans="1:11" x14ac:dyDescent="0.25">
      <c r="A23" t="s">
        <v>31</v>
      </c>
      <c r="B23" s="8">
        <f>$B$17+($B$13-$B$17)*B21/$B$16</f>
        <v>0.05535084517605836</v>
      </c>
      <c r="C23" s="8">
        <f>$B$17+($B$13-$B$17)*C21/$B$16</f>
        <v>0.051978529045385205</v>
      </c>
      <c r="D23" s="8">
        <f>$B$17+($B$13-$B$17)*D21/$B$16</f>
        <v>0.04860621291471206</v>
      </c>
      <c r="E23" s="8">
        <f>$B$17+($B$13-$B$17)*E21/$B$16</f>
        <v>0.045233896784038906</v>
      </c>
      <c r="F23" s="8">
        <f>$B$17+($B$13-$B$17)*F21/$B$16</f>
        <v>0.04186158065336576</v>
      </c>
      <c r="G23" s="8">
        <f>$B$17+($B$13-$B$17)*G21/$B$16</f>
        <v>0.03848926452269261</v>
      </c>
      <c r="H23" s="8">
        <f>$B$17+($B$13-$B$17)*H21/$B$16</f>
        <v>0.035116948392019454</v>
      </c>
      <c r="I23" s="8">
        <f>$B$17+($B$13-$B$17)*I21/$B$16</f>
        <v>0.0317446322613463</v>
      </c>
      <c r="J23" s="8">
        <f>$B$17+($B$13-$B$17)*J21/$B$16</f>
        <v>0.02837231613067315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23321000000</v>
      </c>
      <c r="C24" s="9">
        <f>B24*(1+B23)</f>
        <v>24611837060.35086</v>
      </c>
      <c r="D24" s="9">
        <f>C24*(1+C23)</f>
        <v>25891124147.8526</v>
      </c>
      <c r="E24" s="9">
        <f>D24*(1+D23)</f>
        <v>27149593640.78437</v>
      </c>
      <c r="F24" s="9">
        <f>E24*(1+E23)</f>
        <v>28377675557.260216</v>
      </c>
      <c r="G24" s="9">
        <f>F24*(1+F23)</f>
        <v>29565609911.35551</v>
      </c>
      <c r="H24" s="9">
        <f>G24*(1+G23)</f>
        <v>30703568492.008415</v>
      </c>
      <c r="I24" s="9">
        <f>H24*(1+H23)</f>
        <v>31781784122.19311</v>
      </c>
      <c r="J24" s="9">
        <f>I24*(1+I23)</f>
        <v>32790685171.76163</v>
      </c>
      <c r="K24" s="9">
        <f>J24*(1+J23)</f>
        <v>33721032857.596233</v>
      </c>
    </row>
    <row r="25" spans="1:11" x14ac:dyDescent="0.25">
      <c r="A25" t="s">
        <v>33</v>
      </c>
      <c r="B25" s="9">
        <f>(B22-$B$9)*B24</f>
        <v>700467377.4254107</v>
      </c>
      <c r="C25" s="9">
        <f>(C22-$B$9)*C24</f>
        <v>739238838.7841644</v>
      </c>
      <c r="D25" s="9">
        <f>(D22-$B$9)*D24</f>
        <v>777663386.2373841</v>
      </c>
      <c r="E25" s="9">
        <f>(E22-$B$9)*E24</f>
        <v>815462658.3648144</v>
      </c>
      <c r="F25" s="9">
        <f>(F22-$B$9)*F24</f>
        <v>852349212.0845267</v>
      </c>
      <c r="G25" s="9">
        <f>(G22-$B$9)*G24</f>
        <v>888029897.3710358</v>
      </c>
      <c r="H25" s="9">
        <f>(H22-$B$9)*H24</f>
        <v>922209514.9950092</v>
      </c>
      <c r="I25" s="9">
        <f>(I22-$B$9)*I24</f>
        <v>954594698.9397182</v>
      </c>
      <c r="J25" s="9">
        <f>(J22-$B$9)*J24</f>
        <v>984897956.6161903</v>
      </c>
      <c r="K25" s="9">
        <f>(K22-$B$9)*K24</f>
        <v>1012841792.797759</v>
      </c>
    </row>
    <row r="26" spans="1:11" x14ac:dyDescent="0.25">
      <c r="A26" t="s">
        <v>34</v>
      </c>
      <c r="B26" s="14">
        <f>1/(1+$B$9)^B21</f>
        <v>0.9293255156884905</v>
      </c>
      <c r="C26" s="14">
        <f>1/(1+$B$9)^C21</f>
        <v>0.863645914109679</v>
      </c>
      <c r="D26" s="14">
        <f>1/(1+$B$9)^D21</f>
        <v>0.8026081845022353</v>
      </c>
      <c r="E26" s="14">
        <f>1/(1+$B$9)^E21</f>
        <v>0.7458842649583428</v>
      </c>
      <c r="F26" s="14">
        <f>1/(1+$B$9)^F21</f>
        <v>0.6931692791763426</v>
      </c>
      <c r="G26" s="14">
        <f>1/(1+$B$9)^G21</f>
        <v>0.6441798978299739</v>
      </c>
      <c r="H26" s="14">
        <f>1/(1+$B$9)^H21</f>
        <v>0.5986528157469997</v>
      </c>
      <c r="I26" s="14">
        <f>1/(1+$B$9)^I21</f>
        <v>0.5563433367124474</v>
      </c>
      <c r="J26" s="14">
        <f>1/(1+$B$9)^J21</f>
        <v>0.5170240582901506</v>
      </c>
      <c r="K26" s="14">
        <f>1/(1+$B$9)^K21</f>
        <v>0.4804836495938505</v>
      </c>
    </row>
    <row r="27" spans="1:11" x14ac:dyDescent="0.25">
      <c r="A27" s="15" t="s">
        <v>35</v>
      </c>
      <c r="B27" s="16">
        <f>B25*B26</f>
        <v>650962206.7488344</v>
      </c>
      <c r="C27" s="16">
        <f>C25*C26</f>
        <v>638440602.6671273</v>
      </c>
      <c r="D27" s="16">
        <f>D25*D26</f>
        <v>624158998.5818473</v>
      </c>
      <c r="E27" s="16">
        <f>E25*E26</f>
        <v>608240765.5354159</v>
      </c>
      <c r="F27" s="16">
        <f>F25*F26</f>
        <v>590822288.947155</v>
      </c>
      <c r="G27" s="16">
        <f>G25*G26</f>
        <v>572051008.558436</v>
      </c>
      <c r="H27" s="16">
        <f>H25*H26</f>
        <v>552083322.8604372</v>
      </c>
      <c r="I27" s="16">
        <f>I25*I26</f>
        <v>531082400.016137</v>
      </c>
      <c r="J27" s="16">
        <f>J25*J26</f>
        <v>509215938.53137946</v>
      </c>
      <c r="K27" s="16">
        <f>K25*K26</f>
        <v>486653921.06464577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23321000000</v>
      </c>
    </row>
    <row r="31" spans="1:2" x14ac:dyDescent="0.25">
      <c r="A31" t="s">
        <v>38</v>
      </c>
      <c r="B31" s="9">
        <f>SUM(B27:K27)</f>
        <v>5763711453.5114155</v>
      </c>
    </row>
    <row r="32" spans="1:2" x14ac:dyDescent="0.25">
      <c r="A32" t="s">
        <v>39</v>
      </c>
      <c r="B32" s="9">
        <f>K24*(1+K23)</f>
        <v>34564058679.03613</v>
      </c>
    </row>
    <row r="33" spans="1:2" x14ac:dyDescent="0.25">
      <c r="A33" t="s">
        <v>40</v>
      </c>
      <c r="B33" s="9">
        <f>(B18-B9)*B32</f>
        <v>1038162837.6177031</v>
      </c>
    </row>
    <row r="34" spans="1:2" x14ac:dyDescent="0.25">
      <c r="A34" t="s">
        <v>41</v>
      </c>
      <c r="B34" s="9">
        <f>B33/(B9-B13)</f>
        <v>20336505754.08753</v>
      </c>
    </row>
    <row r="35" spans="1:2" x14ac:dyDescent="0.25">
      <c r="A35" t="s">
        <v>42</v>
      </c>
      <c r="B35" s="9">
        <f>B34*K26</f>
        <v>9771358504.710316</v>
      </c>
    </row>
    <row r="36" spans="1:2" x14ac:dyDescent="0.25">
      <c r="A36" s="15" t="s">
        <v>43</v>
      </c>
      <c r="B36" s="16">
        <f>B30+B31+B35</f>
        <v>38856069958.221725</v>
      </c>
    </row>
    <row r="37" spans="1:2" x14ac:dyDescent="0.25">
      <c r="A37" s="15" t="s">
        <v>44</v>
      </c>
      <c r="B37" s="17">
        <f>B36/B15</f>
        <v>149.36944020474726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278.89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149.36944020474726</v>
      </c>
    </row>
    <row r="43" spans="1:2" x14ac:dyDescent="0.25">
      <c r="A43" s="15" t="s">
        <v>48</v>
      </c>
      <c r="B43" s="21">
        <f>B42/B40-1</f>
        <v>-0.4644144996064855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1494000000</v>
      </c>
      <c r="C5" s="9">
        <v>1463000000</v>
      </c>
      <c r="D5" s="9">
        <v>970000000</v>
      </c>
      <c r="E5" s="9">
        <v>1114200000</v>
      </c>
      <c r="F5" s="6" t="s">
        <v>57</v>
      </c>
    </row>
    <row r="6" spans="1:6" x14ac:dyDescent="0.25">
      <c r="A6" t="s">
        <v>37</v>
      </c>
      <c r="B6" s="9">
        <v>23321000000</v>
      </c>
      <c r="C6" s="9">
        <v>20154000000</v>
      </c>
      <c r="D6" s="9">
        <v>10775300000</v>
      </c>
      <c r="E6" s="9">
        <v>9143600000</v>
      </c>
      <c r="F6" s="6" t="s">
        <v>58</v>
      </c>
    </row>
    <row r="7" spans="1:6" x14ac:dyDescent="0.25">
      <c r="A7" t="s">
        <v>59</v>
      </c>
      <c r="B7" s="9">
        <v>667000000</v>
      </c>
      <c r="C7" s="9">
        <v>525000000</v>
      </c>
      <c r="D7" s="9">
        <v>474000000</v>
      </c>
      <c r="E7" s="9">
        <v>429500000</v>
      </c>
      <c r="F7" s="6" t="s">
        <v>60</v>
      </c>
    </row>
    <row r="8" spans="1:6" x14ac:dyDescent="0.25">
      <c r="A8" t="s">
        <v>14</v>
      </c>
      <c r="B8" s="10">
        <v>260134000</v>
      </c>
      <c r="C8" s="10">
        <v>224966000</v>
      </c>
      <c r="D8" s="10">
        <v>219358000</v>
      </c>
      <c r="E8" s="10">
        <v>214667000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0.0741292051205716</v>
      </c>
      <c r="C9" s="8">
        <f>IF(AND(ISNUMBER(C5),N(D6)&gt;0),C5/D6,"")</f>
        <v>0.13577348194481825</v>
      </c>
      <c r="D9" s="8">
        <f>IF(AND(ISNUMBER(D5),N(E6)&gt;0),D5/E6,"")</f>
        <v>0.10608513058314012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0.4464524765729585</v>
      </c>
      <c r="C10" s="8">
        <f>IF(AND(ISNUMBER(C9),N(C5)&gt;0,ISNUMBER(C7)),C7/C5,"")</f>
        <v>0.3588516746411483</v>
      </c>
      <c r="D10" s="8">
        <f>IF(AND(ISNUMBER(D9),N(D5)&gt;0,ISNUMBER(D7)),D7/D5,"")</f>
        <v>0.488659793814433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