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<sst xmlns="http://schemas.openxmlformats.org/spreadsheetml/2006/main" count="112" uniqueCount="100">
  <si>
    <t>Arthur J. Gallagher &amp; Co. (AJG)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</si>
  <si>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</si>
  <si>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</si>
  <si>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</si>
  <si>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</si>
  <si>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</si>
  <si>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</si>
  <si>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</si>
  <si>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</si>
  <si>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</si>
  <si>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</si>
  <si>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</si>
  <si>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</si>
  <si>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</si>
  <si>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Discount rate</t>
  </si>
  <si>
    <t>Risk-free rate</t>
  </si>
  <si>
    <t>US 10-year Treasury (^TNX)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</si>
  <si>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</si>
  <si>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</si>
  <si>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</si>
  <si>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</si>
  <si>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</si>
  <si>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</si>
  <si>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</si>
  <si>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</si>
  <si>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</si>
  <si>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</si>
  <si>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</si>
  <si>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</si>
  <si>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</si>
  <si>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</si>
  <si>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</si>
  <si>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</si>
  <si>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</si>
  <si>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</si>
  <si>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</si>
  <si>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</si>
  <si>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</si>
  <si>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</si>
  <si>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</si>
  <si>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</si>
  <si>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</si>
  <si>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</si>
  <si>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</si>
  <si>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</si>
  <si>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</si>
  <si>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</si>
  <si>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</si>
  <si>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</si>
  <si>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</si>
  <si>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</si>
  <si>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</si>
  <si>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</si>
  <si>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</si>
  <si>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</si>
  <si>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</si>
  <si>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</si>
  <si>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</si>
  <si>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</si>
  <si>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</si>
  <si>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</si>
  <si>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</si>
  <si>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</si>
  <si>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</si>
  <si>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</si>
  <si>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</si>
  <si>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</si>
  <si>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</si>
  <si>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</si>
  <si>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</si>
  <si>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</si>
  <si>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</si>
  <si>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</si>
  <si>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</si>
  <si>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</si>
  <si>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</si>
  <si>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</si>
  <si>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</si>
  <si>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</si>
  <si>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</si>
  <si>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</si>
  <si>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</si>
  <si>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</si>
  <si>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</si>
  <si>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</si>
  <si>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</si>
  <si>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</si>
  <si>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</si>
  <si>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</si>
  <si>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</si>
  <si>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</si>
  <si>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</si>
  <si>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</si>
  <si>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</si>
  <si>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</si>
  <si>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</si>
  <si>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</si>
  <si>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</si>
  <si>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Wrong tool: This is a financial. Banks and insurers report no meaningful operating income, and capex and working capital do not mean what a free-cashflow model assumes, so a DCF will misprice it. The model below runs on best-effort numbers - treat it as an illustration, not a valuation.</t>
  </si>
  <si>
    <t>Data: Yahoo Finance. Risk-free rate: US 10-year Treasury (^TNX).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</si>
</sst>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0.17699918642049317</v>
      </c>
    </row>
    <row r="7" spans="1:2" x14ac:dyDescent="0.25">
      <c r="A7" t="s">
        <v>5</v>
      </c>
      <c r="B7" s="6">
        <v>0.19010924092319664</v>
      </c>
    </row>
    <row r="8" spans="1:2" x14ac:dyDescent="0.25">
      <c r="A8" t="s">
        <v>6</v>
      </c>
      <c r="B8" s="6">
        <v>0.1907481953061045</v>
      </c>
    </row>
    <row r="9" spans="1:2" x14ac:dyDescent="0.25">
      <c r="A9" t="s">
        <v>7</v>
      </c>
      <c r="B9" s="6">
        <v>0.07318929269037572</v>
      </c>
    </row>
    <row r="10" spans="1:2" x14ac:dyDescent="0.25">
      <c r="A10" t="s">
        <v>8</v>
      </c>
      <c r="B10" s="6">
        <v>0.015829380501720006</v>
      </c>
    </row>
    <row r="11" spans="1:2" x14ac:dyDescent="0.25">
      <c r="A11" t="s">
        <v>9</v>
      </c>
      <c r="B11" s="6">
        <v>0.08018929932956488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19.977579623708536</v>
      </c>
    </row>
    <row r="14" spans="1:3" x14ac:dyDescent="0.25">
      <c r="A14" t="s">
        <v>12</v>
      </c>
      <c r="B14" s="6">
        <v>0.07843195128889696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0.049980000000000004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0.66902</v>
      </c>
      <c r="C19" s="8" t="s">
        <v>19</v>
      </c>
    </row>
    <row r="20" spans="1:2" x14ac:dyDescent="0.25">
      <c r="A20" t="s">
        <v>20</v>
      </c>
      <c r="B20" s="10">
        <f>B17+B19*B18</f>
        <v>0.0867761</v>
      </c>
    </row>
    <row r="21" spans="1:3" x14ac:dyDescent="0.25">
      <c r="A21" t="s">
        <v>21</v>
      </c>
      <c r="B21" s="6">
        <v>0.049980000000000004</v>
      </c>
      <c r="C21" s="8" t="s">
        <v>22</v>
      </c>
    </row>
    <row r="22" spans="1:2" x14ac:dyDescent="0.25">
      <c r="A22" t="s">
        <v>23</v>
      </c>
      <c r="B22" s="11">
        <v>61388537856</v>
      </c>
    </row>
    <row r="23" spans="1:2" x14ac:dyDescent="0.25">
      <c r="A23" t="s">
        <v>24</v>
      </c>
      <c r="B23" s="11">
        <v>13485000000</v>
      </c>
    </row>
    <row r="24" spans="1:2" x14ac:dyDescent="0.25">
      <c r="A24" t="s">
        <v>25</v>
      </c>
      <c r="B24" s="10">
        <f>B22/(B22+B23)</f>
        <v>0.8198963160264321</v>
      </c>
    </row>
    <row r="25" spans="1:2" x14ac:dyDescent="0.25">
      <c r="A25" t="s">
        <v>26</v>
      </c>
      <c r="B25" s="10">
        <f>1-B24</f>
        <v>0.1801036839735679</v>
      </c>
    </row>
    <row r="26" spans="1:2" x14ac:dyDescent="0.25">
      <c r="A26" t="s">
        <v>27</v>
      </c>
      <c r="B26" s="12">
        <f>B24*B20+B25*B21*(1-B8)</f>
        <v>0.07843195128889696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13942000000</v>
      </c>
      <c r="C29" s="8" t="s">
        <v>30</v>
      </c>
    </row>
    <row r="30" spans="1:2" x14ac:dyDescent="0.25">
      <c r="A30" t="s">
        <v>31</v>
      </c>
      <c r="B30" s="11">
        <v>12089000000</v>
      </c>
    </row>
    <row r="31" spans="1:2" x14ac:dyDescent="0.25">
      <c r="A31" t="s">
        <v>32</v>
      </c>
      <c r="B31" s="13">
        <v>260134000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0.17699918642049317</v>
      </c>
      <c r="C5" s="10">
        <f>Assumptions!B6</f>
        <v>0.17699918642049317</v>
      </c>
      <c r="D5" s="10">
        <f>Assumptions!B6</f>
        <v>0.17699918642049317</v>
      </c>
      <c r="E5" s="10">
        <f>Assumptions!B6</f>
        <v>0.17699918642049317</v>
      </c>
      <c r="F5" s="10">
        <f>Assumptions!B6</f>
        <v>0.17699918642049317</v>
      </c>
    </row>
    <row r="6" spans="1:6" x14ac:dyDescent="0.25">
      <c r="A6" t="s">
        <v>43</v>
      </c>
      <c r="B6" s="18">
        <f>Assumptions!B29*(1+B5)</f>
        <v>16409722657.074516</v>
      </c>
      <c r="C6" s="18">
        <f>B6*(1+C5)</f>
        <v>19314230216.762638</v>
      </c>
      <c r="D6" s="18">
        <f>C6*(1+D5)</f>
        <v>22732833251.46773</v>
      </c>
      <c r="E6" s="18">
        <f>D6*(1+E5)</f>
        <v>26756526242.010254</v>
      </c>
      <c r="F6" s="18">
        <f>E6*(1+F5)</f>
        <v>31492409618.284645</v>
      </c>
    </row>
    <row r="7" spans="1:6" x14ac:dyDescent="0.25">
      <c r="A7" t="s">
        <v>5</v>
      </c>
      <c r="B7" s="10">
        <f>Assumptions!B7</f>
        <v>0.19010924092319664</v>
      </c>
      <c r="C7" s="10">
        <f>Assumptions!B7</f>
        <v>0.19010924092319664</v>
      </c>
      <c r="D7" s="10">
        <f>Assumptions!B7</f>
        <v>0.19010924092319664</v>
      </c>
      <c r="E7" s="10">
        <f>Assumptions!B7</f>
        <v>0.19010924092319664</v>
      </c>
      <c r="F7" s="10">
        <f>Assumptions!B7</f>
        <v>0.19010924092319664</v>
      </c>
    </row>
    <row r="8" spans="1:6" x14ac:dyDescent="0.25">
      <c r="A8" t="s">
        <v>44</v>
      </c>
      <c r="B8" s="18">
        <f>B6*B7</f>
        <v>3119639918.0966177</v>
      </c>
      <c r="C8" s="18">
        <f>C6*C7</f>
        <v>3671813645.524613</v>
      </c>
      <c r="D8" s="18">
        <f>D6*D7</f>
        <v>4321721673.470135</v>
      </c>
      <c r="E8" s="18">
        <f>E6*E7</f>
        <v>5086662893.610161</v>
      </c>
      <c r="F8" s="18">
        <f>F6*F7</f>
        <v>5986998087.374471</v>
      </c>
    </row>
    <row r="9" spans="1:6" x14ac:dyDescent="0.25">
      <c r="A9" t="s">
        <v>45</v>
      </c>
      <c r="B9" s="18">
        <f>B8*(1-Assumptions!B8)</f>
        <v>2524574233.714804</v>
      </c>
      <c r="C9" s="18">
        <f>C8*(1-Assumptions!B8)</f>
        <v>2971421819.1404643</v>
      </c>
      <c r="D9" s="18">
        <f>D8*(1-Assumptions!B8)</f>
        <v>3497361063.6404285</v>
      </c>
      <c r="E9" s="18">
        <f>E8*(1-Assumptions!B8)</f>
        <v>4116391126.523495</v>
      </c>
      <c r="F9" s="18">
        <f>F8*(1-Assumptions!B8)</f>
        <v>4844989006.906691</v>
      </c>
    </row>
    <row r="10" spans="1:6" x14ac:dyDescent="0.25">
      <c r="A10" t="s">
        <v>46</v>
      </c>
      <c r="B10" s="18">
        <f>B6*Assumptions!B9</f>
        <v>1201015994.5165167</v>
      </c>
      <c r="C10" s="18">
        <f>C6*Assumptions!B9</f>
        <v>1413594848.4239395</v>
      </c>
      <c r="D10" s="18">
        <f>D6*Assumptions!B9</f>
        <v>1663799986.5231774</v>
      </c>
      <c r="E10" s="18">
        <f>E6*Assumptions!B9</f>
        <v>1958291230.5042071</v>
      </c>
      <c r="F10" s="18">
        <f>F6*Assumptions!B9</f>
        <v>2304907185.0778384</v>
      </c>
    </row>
    <row r="11" spans="1:6" x14ac:dyDescent="0.25">
      <c r="A11" t="s">
        <v>47</v>
      </c>
      <c r="B11" s="18">
        <f>-B6*Assumptions!B10</f>
        <v>-259755743.86652836</v>
      </c>
      <c r="C11" s="18">
        <f>-C6*Assumptions!B10</f>
        <v>-305732299.19895387</v>
      </c>
      <c r="D11" s="18">
        <f>-D6*Assumptions!B10</f>
        <v>-359846667.41963553</v>
      </c>
      <c r="E11" s="18">
        <f>-E6*Assumptions!B10</f>
        <v>-423539234.7890368</v>
      </c>
      <c r="F11" s="18">
        <f>-F6*Assumptions!B10</f>
        <v>-498505334.76385456</v>
      </c>
    </row>
    <row r="12" spans="1:6" x14ac:dyDescent="0.25">
      <c r="A12" t="s">
        <v>48</v>
      </c>
      <c r="B12" s="18">
        <f>-(B6-Assumptions!B29)*Assumptions!B11</f>
        <v>-197884950.81049758</v>
      </c>
      <c r="C12" s="18">
        <f>-(C6-B6)*Assumptions!B11</f>
        <v>-232910426.10881484</v>
      </c>
      <c r="D12" s="18">
        <f>-(D6-C6)*Assumptions!B11</f>
        <v>-274135382.0389256</v>
      </c>
      <c r="E12" s="18">
        <f>-(E6-D6)*Assumptions!B11</f>
        <v>-322657121.6288864</v>
      </c>
      <c r="F12" s="18">
        <f>-(F6-E6)*Assumptions!B11</f>
        <v>-379767169.6499775</v>
      </c>
    </row>
    <row r="13" spans="1:6" x14ac:dyDescent="0.25">
      <c r="A13" s="19" t="s">
        <v>49</v>
      </c>
      <c r="B13" s="20">
        <f>B9+B10+B11+B12</f>
        <v>3267949533.5542946</v>
      </c>
      <c r="C13" s="20">
        <f>C9+C10+C11+C12</f>
        <v>3846373942.256635</v>
      </c>
      <c r="D13" s="20">
        <f>D9+D10+D11+D12</f>
        <v>4527179000.705045</v>
      </c>
      <c r="E13" s="20">
        <f>E9+E10+E11+E12</f>
        <v>5328486000.609779</v>
      </c>
      <c r="F13" s="20">
        <f>F9+F10+F11+F12</f>
        <v>6271623687.570697</v>
      </c>
    </row>
    <row r="14" spans="1:6" x14ac:dyDescent="0.25">
      <c r="A14" t="s">
        <v>50</v>
      </c>
      <c r="B14" s="21">
        <f>1/(1+Assumptions!$B$26)^(1-0.5*Assumptions!$B$32)</f>
        <v>0.9629497544796194</v>
      </c>
      <c r="C14" s="21">
        <f>1/(1+Assumptions!$B$26)^(2-0.5*Assumptions!$B$32)</f>
        <v>0.8929165658795086</v>
      </c>
      <c r="D14" s="21">
        <f>1/(1+Assumptions!$B$26)^(3-0.5*Assumptions!$B$32)</f>
        <v>0.8279767349366198</v>
      </c>
      <c r="E14" s="21">
        <f>1/(1+Assumptions!$B$26)^(4-0.5*Assumptions!$B$32)</f>
        <v>0.7677598331049599</v>
      </c>
      <c r="F14" s="21">
        <f>1/(1+Assumptions!$B$26)^(5-0.5*Assumptions!$B$32)</f>
        <v>0.7119223722807596</v>
      </c>
    </row>
    <row r="15" spans="1:6" x14ac:dyDescent="0.25">
      <c r="A15" s="19" t="s">
        <v>51</v>
      </c>
      <c r="B15" s="20">
        <f>B13*B14</f>
        <v>3146871200.9878945</v>
      </c>
      <c r="C15" s="20">
        <f>C13*C14</f>
        <v>3434491011.608222</v>
      </c>
      <c r="D15" s="20">
        <f>D13*D14</f>
        <v>3748398887.477392</v>
      </c>
      <c r="E15" s="20">
        <f>E13*E14</f>
        <v>4090997522.530279</v>
      </c>
      <c r="F15" s="20">
        <f>F13*F14</f>
        <v>4464909213.707536</v>
      </c>
    </row>
    <row r="17" spans="1:2" x14ac:dyDescent="0.25">
      <c r="A17" s="22" t="s">
        <v>52</v>
      </c>
      <c r="B17" s="23">
        <f>SUM(B15:F15)</f>
        <v>18885667836.311325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6271623687.570697</v>
      </c>
    </row>
    <row r="5" spans="1:2" x14ac:dyDescent="0.25">
      <c r="A5" t="s">
        <v>56</v>
      </c>
      <c r="B5" s="18">
        <f>IF(Assumptions!$B$33=0,B4,B4-Forecast!F11-Forecast!F10-Forecast!F12)</f>
        <v>6314689483.103464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0.3187476479823226</v>
      </c>
    </row>
    <row r="7" spans="1:2" x14ac:dyDescent="0.25">
      <c r="A7" t="s">
        <v>58</v>
      </c>
      <c r="B7" s="18">
        <f>-MAX(Forecast!F9,0)*B6</f>
        <v>-2012792420.4779375</v>
      </c>
    </row>
    <row r="8" spans="1:2" x14ac:dyDescent="0.25">
      <c r="A8" t="s">
        <v>59</v>
      </c>
      <c r="B8" s="18">
        <f>IF(OR(Assumptions!$B$33=0,Assumptions!B12&lt;=0),B5,MAX(B5+B7,0))</f>
        <v>4301897062.625526</v>
      </c>
    </row>
    <row r="9" spans="1:2" x14ac:dyDescent="0.25">
      <c r="A9" t="s">
        <v>60</v>
      </c>
      <c r="B9" s="18">
        <f>B8*(1+Assumptions!B12)/(Assumptions!B26-Assumptions!B12)</f>
        <v>82524489239.59543</v>
      </c>
    </row>
    <row r="10" spans="1:2" x14ac:dyDescent="0.25">
      <c r="A10" t="s">
        <v>61</v>
      </c>
      <c r="B10" s="18">
        <f>B9/(1+Assumptions!B26)^(5-0.5*Assumptions!B32)</f>
        <v>58751030150.7108</v>
      </c>
    </row>
    <row r="11" spans="1:2" x14ac:dyDescent="0.25">
      <c r="A11" t="s">
        <v>62</v>
      </c>
      <c r="B11" s="18">
        <f>Forecast!B17+B10</f>
        <v>77636697987.02213</v>
      </c>
    </row>
    <row r="12" spans="1:2" x14ac:dyDescent="0.25">
      <c r="A12" t="s">
        <v>63</v>
      </c>
      <c r="B12" s="18">
        <f>-Assumptions!B30</f>
        <v>-12089000000</v>
      </c>
    </row>
    <row r="13" spans="1:2" x14ac:dyDescent="0.25">
      <c r="A13" t="s">
        <v>64</v>
      </c>
      <c r="B13" s="18">
        <f>B11+B12</f>
        <v>65547697987.022125</v>
      </c>
    </row>
    <row r="14" spans="1:2" x14ac:dyDescent="0.25">
      <c r="A14" s="19" t="s">
        <v>65</v>
      </c>
      <c r="B14" s="24">
        <f>B13/Assumptions!B31</f>
        <v>251.97666582231514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8291905272.452309</v>
      </c>
    </row>
    <row r="18" spans="1:2" x14ac:dyDescent="0.25">
      <c r="A18" t="s">
        <v>60</v>
      </c>
      <c r="B18" s="18">
        <f>B17*Assumptions!B13</f>
        <v>165652197812.6646</v>
      </c>
    </row>
    <row r="19" spans="1:2" x14ac:dyDescent="0.25">
      <c r="A19" t="s">
        <v>61</v>
      </c>
      <c r="B19" s="18">
        <f>B18/(1+Assumptions!B26)^(5-0.5*Assumptions!B32)</f>
        <v>117931505640.31384</v>
      </c>
    </row>
    <row r="20" spans="1:2" x14ac:dyDescent="0.25">
      <c r="A20" t="s">
        <v>62</v>
      </c>
      <c r="B20" s="18">
        <f>Forecast!B17+B19</f>
        <v>136817173476.62517</v>
      </c>
    </row>
    <row r="21" spans="1:2" x14ac:dyDescent="0.25">
      <c r="A21" t="s">
        <v>63</v>
      </c>
      <c r="B21" s="18">
        <f>-Assumptions!B30</f>
        <v>-12089000000</v>
      </c>
    </row>
    <row r="22" spans="1:2" x14ac:dyDescent="0.25">
      <c r="A22" t="s">
        <v>64</v>
      </c>
      <c r="B22" s="18">
        <f>B20+B21</f>
        <v>124728173476.62517</v>
      </c>
    </row>
    <row r="23" spans="1:2" x14ac:dyDescent="0.25">
      <c r="A23" s="19" t="s">
        <v>65</v>
      </c>
      <c r="B23" s="25">
        <f>B22/Assumptions!B31</f>
        <v>479.47662926270755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239.48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251.97666582231514</v>
      </c>
    </row>
    <row r="29" spans="1:2" x14ac:dyDescent="0.25">
      <c r="A29" s="19" t="s">
        <v>73</v>
      </c>
      <c r="B29" s="12">
        <f>B28/B26-1</f>
        <v>0.05218250301618155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0.058432</v>
      </c>
      <c r="B5" s="31">
        <v>373.2576087688695</v>
      </c>
      <c r="C5" s="31">
        <v>383.50459812766314</v>
      </c>
      <c r="D5" s="31">
        <v>396.4070781041692</v>
      </c>
      <c r="E5" s="31">
        <v>413.36601800289276</v>
      </c>
      <c r="F5" s="31">
        <v>436.97816154324573</v>
      </c>
    </row>
    <row r="6" spans="1:6" x14ac:dyDescent="0.25">
      <c r="A6" s="30">
        <v>0.068432</v>
      </c>
      <c r="B6" s="31">
        <v>295.5132265502552</v>
      </c>
      <c r="C6" s="31">
        <v>296.94797343420663</v>
      </c>
      <c r="D6" s="31">
        <v>298.41088441263554</v>
      </c>
      <c r="E6" s="31">
        <v>299.91295192458165</v>
      </c>
      <c r="F6" s="31">
        <v>301.4717444075524</v>
      </c>
    </row>
    <row r="7" spans="1:6" x14ac:dyDescent="0.25">
      <c r="A7" s="30">
        <v>0.078432</v>
      </c>
      <c r="B7" s="31">
        <v>249.7730668294709</v>
      </c>
      <c r="C7" s="31">
        <v>250.87476885510793</v>
      </c>
      <c r="D7" s="32">
        <v>251.9764708807447</v>
      </c>
      <c r="E7" s="31">
        <v>253.07817290638167</v>
      </c>
      <c r="F7" s="31">
        <v>254.17987493201858</v>
      </c>
    </row>
    <row r="8" spans="1:6" x14ac:dyDescent="0.25">
      <c r="A8" s="30">
        <v>0.088432</v>
      </c>
      <c r="B8" s="31">
        <v>214.64887291288844</v>
      </c>
      <c r="C8" s="31">
        <v>215.58623974095025</v>
      </c>
      <c r="D8" s="31">
        <v>216.5236065690121</v>
      </c>
      <c r="E8" s="31">
        <v>217.4609733970739</v>
      </c>
      <c r="F8" s="31">
        <v>218.39834022513574</v>
      </c>
    </row>
    <row r="9" spans="1:6" x14ac:dyDescent="0.25">
      <c r="A9" s="30">
        <v>0.098432</v>
      </c>
      <c r="B9" s="31">
        <v>186.7301905233505</v>
      </c>
      <c r="C9" s="31">
        <v>187.53837272392965</v>
      </c>
      <c r="D9" s="31">
        <v>188.34655492450878</v>
      </c>
      <c r="E9" s="31">
        <v>189.15473712508793</v>
      </c>
      <c r="F9" s="31">
        <v>189.96291932566706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13942000000</v>
      </c>
      <c r="C5" s="18">
        <v>11555000000</v>
      </c>
      <c r="D5" s="18">
        <v>10072000000</v>
      </c>
      <c r="E5" s="18">
        <v>8550600000</v>
      </c>
      <c r="F5" s="8" t="s">
        <v>84</v>
      </c>
    </row>
    <row r="6" spans="1:6" x14ac:dyDescent="0.25">
      <c r="A6" t="s">
        <v>44</v>
      </c>
      <c r="B6" s="18">
        <v>2556000000</v>
      </c>
      <c r="C6" s="18">
        <v>2282000000</v>
      </c>
      <c r="D6" s="18">
        <v>1860000000</v>
      </c>
      <c r="E6" s="18">
        <v>1666900000</v>
      </c>
      <c r="F6" s="8" t="s">
        <v>85</v>
      </c>
    </row>
    <row r="7" spans="1:6" x14ac:dyDescent="0.25">
      <c r="A7" t="s">
        <v>86</v>
      </c>
      <c r="B7" s="18">
        <v>1122000000</v>
      </c>
      <c r="C7" s="18">
        <v>843000000</v>
      </c>
      <c r="D7" s="18">
        <v>697000000</v>
      </c>
      <c r="E7" s="18">
        <v>599600000</v>
      </c>
      <c r="F7" s="8" t="s">
        <v>87</v>
      </c>
    </row>
    <row r="8" spans="1:6" x14ac:dyDescent="0.25">
      <c r="A8" t="s">
        <v>88</v>
      </c>
      <c r="B8" s="18">
        <v>145000000</v>
      </c>
      <c r="C8" s="18">
        <v>142000000</v>
      </c>
      <c r="D8" s="18">
        <v>194000000</v>
      </c>
      <c r="E8" s="18">
        <v>182700000</v>
      </c>
      <c r="F8" s="8" t="s">
        <v>89</v>
      </c>
    </row>
    <row r="9" spans="1:6" x14ac:dyDescent="0.25">
      <c r="A9" t="s">
        <v>90</v>
      </c>
      <c r="B9" s="18">
        <v>539000000</v>
      </c>
      <c r="C9" s="18">
        <v>-41000000</v>
      </c>
      <c r="D9" s="18">
        <v>122000000</v>
      </c>
      <c r="E9" s="18">
        <v>182700000</v>
      </c>
      <c r="F9" s="8" t="s">
        <v>91</v>
      </c>
    </row>
    <row r="10" spans="1:6" x14ac:dyDescent="0.25">
      <c r="A10" t="s">
        <v>92</v>
      </c>
      <c r="B10" s="18">
        <v>13485000000</v>
      </c>
      <c r="C10" s="18">
        <v>13485000000</v>
      </c>
      <c r="D10" s="18">
        <v>8317200000</v>
      </c>
      <c r="E10" s="18">
        <v>6415100000</v>
      </c>
      <c r="F10" s="8" t="s">
        <v>93</v>
      </c>
    </row>
    <row r="11" spans="1:6" x14ac:dyDescent="0.25">
      <c r="A11" t="s">
        <v>94</v>
      </c>
      <c r="B11" s="18">
        <v>1396000000</v>
      </c>
      <c r="C11" s="18">
        <v>14987000000</v>
      </c>
      <c r="D11" s="18">
        <v>971500000</v>
      </c>
      <c r="E11" s="18">
        <v>738400000</v>
      </c>
      <c r="F11" s="8" t="s">
        <v>95</v>
      </c>
    </row>
    <row r="12" spans="1:6" x14ac:dyDescent="0.25">
      <c r="A12" t="s">
        <v>32</v>
      </c>
      <c r="B12" s="34">
        <v>260134000</v>
      </c>
      <c r="C12" s="34">
        <v>224966000</v>
      </c>
      <c r="D12" s="34">
        <v>219358000</v>
      </c>
      <c r="E12" s="34">
        <v>214667000</v>
      </c>
      <c r="F12" s="8" t="s">
        <v>96</v>
      </c>
    </row>
    <row r="15" spans="1:1" x14ac:dyDescent="0.25">
      <c r="A15" s="19" t="s">
        <v>97</v>
      </c>
    </row>
    <row r="16" ht="54" customHeight="1" spans="1:6" x14ac:dyDescent="0.25">
      <c r="A16" s="35" t="s">
        <v>98</v>
      </c>
      <c r="B16" s="35"/>
      <c r="C16" s="35"/>
      <c r="D16" s="35"/>
      <c r="E16" s="35"/>
      <c r="F16" s="35"/>
    </row>
    <row r="18" spans="1:1" x14ac:dyDescent="0.25">
      <c r="A18" s="36" t="s">
        <v>99</v>
      </c>
    </row>
  </sheetData>
  <mergeCells count="1">
    <mergeCell ref="A16:F1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2026-09-19T00:08:13Z</dcterms:modified>
</cp:coreProperties>
</file>