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<sst xmlns="http://schemas.openxmlformats.org/spreadsheetml/2006/main" count="119" uniqueCount="106">
  <si>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Akamai Technologies, Inc. (AKAM)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</si>
  <si>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</si>
  <si>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</si>
  <si>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</si>
  <si>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</si>
  <si>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</si>
  <si>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</si>
  <si>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</si>
  <si>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</si>
  <si>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</si>
  <si>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</si>
  <si>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</si>
  <si>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</si>
  <si>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</si>
  <si>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</si>
  <si>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</si>
  <si>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</si>
  <si>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</si>
  <si>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</si>
  <si>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</si>
  <si>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</si>
  <si>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</si>
  <si>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</si>
  <si>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</si>
  <si>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20.4x interest cover. Book interest / average debt was lower, at 0.6%.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</si>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</sst>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0.06703909889679016</v>
      </c>
    </row>
    <row r="7" spans="1:2" x14ac:dyDescent="0.25">
      <c r="A7" t="s">
        <v>4</v>
      </c>
      <c r="B7" s="5">
        <v>0.1724660386124923</v>
      </c>
    </row>
    <row r="8" spans="1:2" x14ac:dyDescent="0.25">
      <c r="A8" t="s">
        <v>5</v>
      </c>
      <c r="B8" s="5">
        <v>0.17778162192474503</v>
      </c>
    </row>
    <row r="9" spans="1:2" x14ac:dyDescent="0.25">
      <c r="A9" t="s">
        <v>6</v>
      </c>
      <c r="B9" s="5">
        <v>0.16112014197112565</v>
      </c>
    </row>
    <row r="10" spans="1:3" x14ac:dyDescent="0.25">
      <c r="A10" t="s">
        <v>7</v>
      </c>
      <c r="B10" s="5">
        <v>0.1711676956058357</v>
      </c>
      <c r="C10" s="6" t="s">
        <v>8</v>
      </c>
    </row>
    <row r="11" spans="1:2" x14ac:dyDescent="0.25">
      <c r="A11" t="s">
        <v>9</v>
      </c>
      <c r="B11" s="5">
        <v>0.09609368668485636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12.677271143498949</v>
      </c>
    </row>
    <row r="14" spans="1:3" x14ac:dyDescent="0.25">
      <c r="A14" t="s">
        <v>12</v>
      </c>
      <c r="B14" s="5">
        <v>0.06976549566238961</v>
      </c>
      <c r="C14" s="6" t="s">
        <v>13</v>
      </c>
    </row>
    <row r="15" spans="1:3" x14ac:dyDescent="0.25">
      <c r="A15" t="s">
        <v>14</v>
      </c>
      <c r="B15" s="5">
        <v>0.16112014197112565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0.77488</v>
      </c>
      <c r="C19" s="6" t="s">
        <v>21</v>
      </c>
    </row>
    <row r="20" spans="1:2" x14ac:dyDescent="0.25">
      <c r="A20" t="s">
        <v>22</v>
      </c>
      <c r="B20" s="9">
        <f>B17+B19*B18</f>
        <v>0.08171742400000001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12458792960</v>
      </c>
    </row>
    <row r="23" spans="1:2" x14ac:dyDescent="0.25">
      <c r="A23" t="s">
        <v>26</v>
      </c>
      <c r="B23" s="10">
        <v>5675388000</v>
      </c>
    </row>
    <row r="24" spans="1:2" x14ac:dyDescent="0.25">
      <c r="A24" t="s">
        <v>27</v>
      </c>
      <c r="B24" s="9">
        <f>B22/(B22+B23)</f>
        <v>0.6870336734524347</v>
      </c>
    </row>
    <row r="25" spans="1:2" x14ac:dyDescent="0.25">
      <c r="A25" t="s">
        <v>28</v>
      </c>
      <c r="B25" s="9">
        <f>1-B24</f>
        <v>0.3129663265475653</v>
      </c>
    </row>
    <row r="26" spans="1:2" x14ac:dyDescent="0.25">
      <c r="A26" t="s">
        <v>29</v>
      </c>
      <c r="B26" s="11">
        <f>B24*B20+B25*B21*(1-B8)</f>
        <v>0.06976549566238961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4208175000</v>
      </c>
      <c r="C29" s="6" t="s">
        <v>32</v>
      </c>
    </row>
    <row r="30" spans="1:2" x14ac:dyDescent="0.25">
      <c r="A30" t="s">
        <v>33</v>
      </c>
      <c r="B30" s="10">
        <v>4488855000</v>
      </c>
    </row>
    <row r="31" spans="1:2" x14ac:dyDescent="0.25">
      <c r="A31" t="s">
        <v>34</v>
      </c>
      <c r="B31" s="12">
        <v>147023000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0.06703909889679016</v>
      </c>
      <c r="C5" s="5">
        <v>0.16140765123343126</v>
      </c>
      <c r="D5" s="5">
        <v>0.14435669482925234</v>
      </c>
      <c r="E5" s="5">
        <v>0.12730573842507345</v>
      </c>
      <c r="F5" s="5">
        <v>0.11025478202089453</v>
      </c>
      <c r="G5" s="5">
        <v>0.09320382561671563</v>
      </c>
      <c r="H5" s="5">
        <v>0.07615286921253672</v>
      </c>
      <c r="I5" s="5">
        <v>0.059101912808357804</v>
      </c>
      <c r="J5" s="5">
        <v>0.0420509564041789</v>
      </c>
      <c r="K5" s="5">
        <v>0.024999999999999994</v>
      </c>
    </row>
    <row r="6" spans="1:11" x14ac:dyDescent="0.25">
      <c r="A6" t="s">
        <v>50</v>
      </c>
      <c r="B6" s="18">
        <f>Assumptions!B29*(1+B5)</f>
        <v>4490287260</v>
      </c>
      <c r="C6" s="18">
        <f>B6*(1+C5)</f>
        <v>5215053980</v>
      </c>
      <c r="D6" s="18">
        <f>C6*(1+D5)</f>
        <v>5967881935.908937</v>
      </c>
      <c r="E6" s="18">
        <f>D6*(1+E5)</f>
        <v>6727627552.593482</v>
      </c>
      <c r="F6" s="18">
        <f>E6*(1+F5)</f>
        <v>7469380661.922441</v>
      </c>
      <c r="G6" s="18">
        <f>F6*(1+G5)</f>
        <v>8165555514.601128</v>
      </c>
      <c r="H6" s="18">
        <f>G6*(1+H5)</f>
        <v>8787385995.752254</v>
      </c>
      <c r="I6" s="18">
        <f>H6*(1+I5)</f>
        <v>9306737316.686588</v>
      </c>
      <c r="J6" s="18">
        <f>I6*(1+J5)</f>
        <v>9698094521.85572</v>
      </c>
      <c r="K6" s="18">
        <f>J6*(1+K5)</f>
        <v>9940546884.902113</v>
      </c>
    </row>
    <row r="7" spans="1:11" x14ac:dyDescent="0.25">
      <c r="A7" t="s">
        <v>4</v>
      </c>
      <c r="B7" s="9">
        <f>Assumptions!B7</f>
        <v>0.1724660386124923</v>
      </c>
      <c r="C7" s="9">
        <f>Assumptions!B7</f>
        <v>0.1724660386124923</v>
      </c>
      <c r="D7" s="9">
        <f>Assumptions!B7</f>
        <v>0.1724660386124923</v>
      </c>
      <c r="E7" s="9">
        <f>Assumptions!B7</f>
        <v>0.1724660386124923</v>
      </c>
      <c r="F7" s="9">
        <f>Assumptions!B7</f>
        <v>0.1724660386124923</v>
      </c>
      <c r="G7" s="9">
        <f>Assumptions!B7</f>
        <v>0.1724660386124923</v>
      </c>
      <c r="H7" s="9">
        <f>Assumptions!B7</f>
        <v>0.1724660386124923</v>
      </c>
      <c r="I7" s="9">
        <f>Assumptions!B7</f>
        <v>0.1724660386124923</v>
      </c>
      <c r="J7" s="9">
        <f>Assumptions!B7</f>
        <v>0.1724660386124923</v>
      </c>
      <c r="K7" s="9">
        <f>Assumptions!B7</f>
        <v>0.1724660386124923</v>
      </c>
    </row>
    <row r="8" spans="1:11" x14ac:dyDescent="0.25">
      <c r="A8" t="s">
        <v>51</v>
      </c>
      <c r="B8" s="18">
        <f>B6*B7</f>
        <v>774422055.9643422</v>
      </c>
      <c r="C8" s="18">
        <f>C6*C7</f>
        <v>899419701.0809116</v>
      </c>
      <c r="D8" s="18">
        <f>D6*D7</f>
        <v>1029256956.3932661</v>
      </c>
      <c r="E8" s="18">
        <f>E6*E7</f>
        <v>1160287273.2560544</v>
      </c>
      <c r="F8" s="18">
        <f>F6*F7</f>
        <v>1288214493.650519</v>
      </c>
      <c r="G8" s="18">
        <f>G6*G7</f>
        <v>1408281012.6736474</v>
      </c>
      <c r="H8" s="18">
        <f>H6*H7</f>
        <v>1515525652.4462824</v>
      </c>
      <c r="I8" s="18">
        <f>I6*I7</f>
        <v>1605096117.415992</v>
      </c>
      <c r="J8" s="18">
        <f>J6*J7</f>
        <v>1672591944.2739687</v>
      </c>
      <c r="K8" s="18">
        <f>K6*K7</f>
        <v>1714406742.880818</v>
      </c>
    </row>
    <row r="9" spans="1:11" x14ac:dyDescent="0.25">
      <c r="A9" t="s">
        <v>52</v>
      </c>
      <c r="B9" s="18">
        <f>B8*(1-Assumptions!B8)</f>
        <v>636744046.8007058</v>
      </c>
      <c r="C9" s="18">
        <f>C8*(1-Assumptions!B8)</f>
        <v>739519407.8316778</v>
      </c>
      <c r="D9" s="18">
        <f>D8*(1-Assumptions!B8)</f>
        <v>846273985.3083447</v>
      </c>
      <c r="E9" s="18">
        <f>E8*(1-Assumptions!B8)</f>
        <v>954009519.9179533</v>
      </c>
      <c r="F9" s="18">
        <f>F8*(1-Assumptions!B8)</f>
        <v>1059193631.5823655</v>
      </c>
      <c r="G9" s="18">
        <f>G8*(1-Assumptions!B8)</f>
        <v>1157914530.114704</v>
      </c>
      <c r="H9" s="18">
        <f>H8*(1-Assumptions!B8)</f>
        <v>1246093043.885825</v>
      </c>
      <c r="I9" s="18">
        <f>I8*(1-Assumptions!B8)</f>
        <v>1319739526.3166661</v>
      </c>
      <c r="J9" s="18">
        <f>J8*(1-Assumptions!B8)</f>
        <v>1375235835.6026797</v>
      </c>
      <c r="K9" s="18">
        <f>K8*(1-Assumptions!B8)</f>
        <v>1409616731.4927468</v>
      </c>
    </row>
    <row r="10" spans="1:11" x14ac:dyDescent="0.25">
      <c r="A10" t="s">
        <v>53</v>
      </c>
      <c r="B10" s="18">
        <f>B6*Assumptions!B9</f>
        <v>723475720.8223368</v>
      </c>
      <c r="C10" s="18">
        <f>C6*Assumptions!B9</f>
        <v>840250237.6446838</v>
      </c>
      <c r="D10" s="18">
        <f>D6*Assumptions!B9</f>
        <v>961545984.7805642</v>
      </c>
      <c r="E10" s="18">
        <f>E6*Assumptions!B9</f>
        <v>1083956306.4027183</v>
      </c>
      <c r="F10" s="18">
        <f>F6*Assumptions!B9</f>
        <v>1203467672.6853242</v>
      </c>
      <c r="G10" s="18">
        <f>G6*Assumptions!B9</f>
        <v>1315635463.7856417</v>
      </c>
      <c r="H10" s="18">
        <f>H6*Assumptions!B9</f>
        <v>1415824879.1906846</v>
      </c>
      <c r="I10" s="18">
        <f>I6*Assumptions!B9</f>
        <v>1499502837.752516</v>
      </c>
      <c r="J10" s="18">
        <f>J6*Assumptions!B9</f>
        <v>1562558366.2107897</v>
      </c>
      <c r="K10" s="18">
        <f>K6*Assumptions!B9</f>
        <v>1601622325.3660593</v>
      </c>
    </row>
    <row r="11" spans="1:11" x14ac:dyDescent="0.25">
      <c r="A11" t="s">
        <v>54</v>
      </c>
      <c r="B11" s="18">
        <f>-B6*B19</f>
        <v>-768592122.902442</v>
      </c>
      <c r="C11" s="18">
        <f>-C6*C19</f>
        <v>-916271362.467931</v>
      </c>
      <c r="D11" s="18">
        <f>-D6*D19</f>
        <v>-1075573937.2237682</v>
      </c>
      <c r="E11" s="18">
        <f>-E6*E19</f>
        <v>-1242974754.7633283</v>
      </c>
      <c r="F11" s="18">
        <f>-F6*F19</f>
        <v>-1413852662.0416265</v>
      </c>
      <c r="G11" s="18">
        <f>-G6*G19</f>
        <v>-1582616593.5589046</v>
      </c>
      <c r="H11" s="18">
        <f>-H6*H19</f>
        <v>-1742941543.3677623</v>
      </c>
      <c r="I11" s="18">
        <f>-I6*I19</f>
        <v>-1888109379.5585928</v>
      </c>
      <c r="J11" s="18">
        <f>-J6*J19</f>
        <v>-2011435569.577748</v>
      </c>
      <c r="K11" s="18">
        <f>-K6*K19</f>
        <v>-2106749078.2505326</v>
      </c>
    </row>
    <row r="12" spans="1:11" x14ac:dyDescent="0.25">
      <c r="A12" t="s">
        <v>55</v>
      </c>
      <c r="B12" s="18">
        <f>-(B6-Assumptions!B29)*Assumptions!B11</f>
        <v>-27109207.122396737</v>
      </c>
      <c r="C12" s="18">
        <f>-(C6-B6)*Assumptions!B11</f>
        <v>-69645506.11129102</v>
      </c>
      <c r="D12" s="18">
        <f>-(D6-C6)*Assumptions!B11</f>
        <v>-72342013.72271429</v>
      </c>
      <c r="E12" s="18">
        <f>-(E6-D6)*Assumptions!B11</f>
        <v>-73006757.2498776</v>
      </c>
      <c r="F12" s="18">
        <f>-(F6-E6)*Assumptions!B11</f>
        <v>-71277790.88537495</v>
      </c>
      <c r="G12" s="18">
        <f>-(G6-F6)*Assumptions!B11</f>
        <v>-66898008.1711818</v>
      </c>
      <c r="H12" s="18">
        <f>-(H6-G6)*Assumptions!B11</f>
        <v>-59753983.42682987</v>
      </c>
      <c r="I12" s="18">
        <f>-(I6-H6)*Assumptions!B11</f>
        <v>-49906383.113230154</v>
      </c>
      <c r="J12" s="18">
        <f>-(J6-I6)*Assumptions!B11</f>
        <v>-37606956.65538364</v>
      </c>
      <c r="K12" s="18">
        <f>-(K6-J6)*Assumptions!B11</f>
        <v>-23298141.410583083</v>
      </c>
    </row>
    <row r="13" spans="1:11" x14ac:dyDescent="0.25">
      <c r="A13" s="19" t="s">
        <v>56</v>
      </c>
      <c r="B13" s="20">
        <f>B9+B10+B11+B12</f>
        <v>564518437.5982039</v>
      </c>
      <c r="C13" s="20">
        <f>C9+C10+C11+C12</f>
        <v>593852776.8971397</v>
      </c>
      <c r="D13" s="20">
        <f>D9+D10+D11+D12</f>
        <v>659904019.1424264</v>
      </c>
      <c r="E13" s="20">
        <f>E9+E10+E11+E12</f>
        <v>721984314.3074657</v>
      </c>
      <c r="F13" s="20">
        <f>F9+F10+F11+F12</f>
        <v>777530851.3406883</v>
      </c>
      <c r="G13" s="20">
        <f>G9+G10+G11+G12</f>
        <v>824035392.1702594</v>
      </c>
      <c r="H13" s="20">
        <f>H9+H10+H11+H12</f>
        <v>859222396.2819173</v>
      </c>
      <c r="I13" s="20">
        <f>I9+I10+I11+I12</f>
        <v>881226601.3973595</v>
      </c>
      <c r="J13" s="20">
        <f>J9+J10+J11+J12</f>
        <v>888751675.5803378</v>
      </c>
      <c r="K13" s="20">
        <f>K9+K10+K11+K12</f>
        <v>881191837.1976904</v>
      </c>
    </row>
    <row r="14" spans="1:11" x14ac:dyDescent="0.25">
      <c r="A14" t="s">
        <v>57</v>
      </c>
      <c r="B14" s="21">
        <f>1/(1+Assumptions!$B$26)^(1-0.5*Assumptions!$B$32)</f>
        <v>0.9668424428637165</v>
      </c>
      <c r="C14" s="21">
        <f>1/(1+Assumptions!$B$26)^(2-0.5*Assumptions!$B$32)</f>
        <v>0.9037891451762107</v>
      </c>
      <c r="D14" s="21">
        <f>1/(1+Assumptions!$B$26)^(3-0.5*Assumptions!$B$32)</f>
        <v>0.8448479118468784</v>
      </c>
      <c r="E14" s="21">
        <f>1/(1+Assumptions!$B$26)^(4-0.5*Assumptions!$B$32)</f>
        <v>0.7897505717584916</v>
      </c>
      <c r="F14" s="21">
        <f>1/(1+Assumptions!$B$26)^(5-0.5*Assumptions!$B$32)</f>
        <v>0.7382464427584521</v>
      </c>
      <c r="G14" s="21">
        <f>1/(1+Assumptions!$B$26)^(6-0.5*Assumptions!$B$32)</f>
        <v>0.6901011911038841</v>
      </c>
      <c r="H14" s="21">
        <f>1/(1+Assumptions!$B$26)^(7-0.5*Assumptions!$B$32)</f>
        <v>0.6450957652888023</v>
      </c>
      <c r="I14" s="21">
        <f>1/(1+Assumptions!$B$26)^(8-0.5*Assumptions!$B$32)</f>
        <v>0.6030253994024779</v>
      </c>
      <c r="J14" s="21">
        <f>1/(1+Assumptions!$B$26)^(9-0.5*Assumptions!$B$32)</f>
        <v>0.5636986814844779</v>
      </c>
      <c r="K14" s="21">
        <f>1/(1+Assumptions!$B$26)^(10-0.5*Assumptions!$B$32)</f>
        <v>0.5269366826375723</v>
      </c>
    </row>
    <row r="15" spans="1:11" x14ac:dyDescent="0.25">
      <c r="A15" s="19" t="s">
        <v>58</v>
      </c>
      <c r="B15" s="20">
        <f>B13*B14</f>
        <v>545800385.249056</v>
      </c>
      <c r="C15" s="20">
        <f>C13*C14</f>
        <v>536717693.5923848</v>
      </c>
      <c r="D15" s="20">
        <f>D13*D14</f>
        <v>557518532.5918413</v>
      </c>
      <c r="E15" s="20">
        <f>E13*E14</f>
        <v>570187525.0249835</v>
      </c>
      <c r="F15" s="20">
        <f>F13*F14</f>
        <v>574009385.137214</v>
      </c>
      <c r="G15" s="20">
        <f>G13*G14</f>
        <v>568667805.6484523</v>
      </c>
      <c r="H15" s="20">
        <f>H13*H14</f>
        <v>554280729.282762</v>
      </c>
      <c r="I15" s="20">
        <f>I13*I14</f>
        <v>531402023.2717309</v>
      </c>
      <c r="J15" s="20">
        <f>J13*J14</f>
        <v>500988147.69175684</v>
      </c>
      <c r="K15" s="20">
        <f>K13*K14</f>
        <v>464332303.46025866</v>
      </c>
    </row>
    <row r="17" spans="1:2" x14ac:dyDescent="0.25">
      <c r="A17" s="22" t="s">
        <v>59</v>
      </c>
      <c r="B17" s="23">
        <f>SUM(B15:K15)</f>
        <v>5403904530.950439</v>
      </c>
    </row>
    <row r="19" spans="1:11" x14ac:dyDescent="0.25">
      <c r="A19" t="s">
        <v>7</v>
      </c>
      <c r="B19" s="9">
        <f>Assumptions!$B$10+($B$20-Assumptions!$B$10)*0/9</f>
        <v>0.1711676956058357</v>
      </c>
      <c r="C19" s="9">
        <f>Assumptions!$B$10+($B$20-Assumptions!$B$10)*1/9</f>
        <v>0.17569738798138596</v>
      </c>
      <c r="D19" s="9">
        <f>Assumptions!$B$10+($B$20-Assumptions!$B$10)*2/9</f>
        <v>0.18022708035693621</v>
      </c>
      <c r="E19" s="9">
        <f>Assumptions!$B$10+($B$20-Assumptions!$B$10)*3/9</f>
        <v>0.1847567727324865</v>
      </c>
      <c r="F19" s="9">
        <f>Assumptions!$B$10+($B$20-Assumptions!$B$10)*4/9</f>
        <v>0.18928646510803676</v>
      </c>
      <c r="G19" s="9">
        <f>Assumptions!$B$10+($B$20-Assumptions!$B$10)*5/9</f>
        <v>0.19381615748358702</v>
      </c>
      <c r="H19" s="9">
        <f>Assumptions!$B$10+($B$20-Assumptions!$B$10)*6/9</f>
        <v>0.19834584985913728</v>
      </c>
      <c r="I19" s="9">
        <f>Assumptions!$B$10+($B$20-Assumptions!$B$10)*7/9</f>
        <v>0.20287554223468757</v>
      </c>
      <c r="J19" s="9">
        <f>Assumptions!$B$10+($B$20-Assumptions!$B$10)*8/9</f>
        <v>0.20740523461023783</v>
      </c>
      <c r="K19" s="9">
        <f>Assumptions!$B$10+($B$20-Assumptions!$B$10)*9/9</f>
        <v>0.21193492698578809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0.21193492698578809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881191837.1976904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1409616731.4927468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0.3583433295017415</v>
      </c>
    </row>
    <row r="7" spans="1:2" x14ac:dyDescent="0.25">
      <c r="A7" t="s">
        <v>66</v>
      </c>
      <c r="B7" s="18">
        <f>-MAX(B5,0)*B6</f>
        <v>-505126752.88447326</v>
      </c>
    </row>
    <row r="8" spans="1:2" x14ac:dyDescent="0.25">
      <c r="A8" t="s">
        <v>67</v>
      </c>
      <c r="B8" s="18">
        <f>IF(OR(Assumptions!$B$33=0,Assumptions!B12&lt;=0),B5,MAX(B5+B7,0))</f>
        <v>904489978.6082735</v>
      </c>
    </row>
    <row r="9" spans="1:2" x14ac:dyDescent="0.25">
      <c r="A9" t="s">
        <v>68</v>
      </c>
      <c r="B9" s="18">
        <f>B8*(1+Assumptions!B12)/(Assumptions!B26-Assumptions!B12)</f>
        <v>20710196868.2634</v>
      </c>
    </row>
    <row r="10" spans="1:2" x14ac:dyDescent="0.25">
      <c r="A10" t="s">
        <v>69</v>
      </c>
      <c r="B10" s="18">
        <f>B9/(1+Assumptions!B26)^(10-0.5*Assumptions!B32)</f>
        <v>10912962434.533756</v>
      </c>
    </row>
    <row r="11" spans="1:2" x14ac:dyDescent="0.25">
      <c r="A11" t="s">
        <v>70</v>
      </c>
      <c r="B11" s="18">
        <f>Forecast!B17+B10</f>
        <v>16316866965.484196</v>
      </c>
    </row>
    <row r="12" spans="1:2" x14ac:dyDescent="0.25">
      <c r="A12" t="s">
        <v>71</v>
      </c>
      <c r="B12" s="18">
        <f>-Assumptions!B30</f>
        <v>-4488855000</v>
      </c>
    </row>
    <row r="13" spans="1:2" x14ac:dyDescent="0.25">
      <c r="A13" t="s">
        <v>72</v>
      </c>
      <c r="B13" s="18">
        <f>B11+B12</f>
        <v>11828011965.484196</v>
      </c>
    </row>
    <row r="14" spans="1:2" x14ac:dyDescent="0.25">
      <c r="A14" s="19" t="s">
        <v>73</v>
      </c>
      <c r="B14" s="24">
        <f>B13/Assumptions!B31</f>
        <v>80.45007900453804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3316029068.246877</v>
      </c>
    </row>
    <row r="18" spans="1:2" x14ac:dyDescent="0.25">
      <c r="A18" t="s">
        <v>68</v>
      </c>
      <c r="B18" s="18">
        <f>B17*Assumptions!B13</f>
        <v>42038199617.88984</v>
      </c>
    </row>
    <row r="19" spans="1:2" x14ac:dyDescent="0.25">
      <c r="A19" t="s">
        <v>69</v>
      </c>
      <c r="B19" s="18">
        <f>B18/(1+Assumptions!B26)^(10-0.5*Assumptions!B32)</f>
        <v>22151469450.706932</v>
      </c>
    </row>
    <row r="20" spans="1:2" x14ac:dyDescent="0.25">
      <c r="A20" t="s">
        <v>70</v>
      </c>
      <c r="B20" s="18">
        <f>Forecast!B17+B19</f>
        <v>27555373981.65737</v>
      </c>
    </row>
    <row r="21" spans="1:2" x14ac:dyDescent="0.25">
      <c r="A21" t="s">
        <v>71</v>
      </c>
      <c r="B21" s="18">
        <f>-Assumptions!B30</f>
        <v>-4488855000</v>
      </c>
    </row>
    <row r="22" spans="1:2" x14ac:dyDescent="0.25">
      <c r="A22" t="s">
        <v>72</v>
      </c>
      <c r="B22" s="18">
        <f>B20+B21</f>
        <v>23066518981.65737</v>
      </c>
    </row>
    <row r="23" spans="1:2" x14ac:dyDescent="0.25">
      <c r="A23" s="19" t="s">
        <v>73</v>
      </c>
      <c r="B23" s="25">
        <f>B22/Assumptions!B31</f>
        <v>156.89054761266857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86.69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80.45007900453804</v>
      </c>
    </row>
    <row r="29" spans="1:2" x14ac:dyDescent="0.25">
      <c r="A29" s="19" t="s">
        <v>81</v>
      </c>
      <c r="B29" s="11">
        <f>B28/B26-1</f>
        <v>-0.07197970925668429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0.049765</v>
      </c>
      <c r="B5" s="31">
        <v>150.54171198685555</v>
      </c>
      <c r="C5" s="31">
        <v>156.49959588460575</v>
      </c>
      <c r="D5" s="31">
        <v>165.58697365047038</v>
      </c>
      <c r="E5" s="31">
        <v>180.17887225240872</v>
      </c>
      <c r="F5" s="31">
        <v>205.86742257705177</v>
      </c>
    </row>
    <row r="6" spans="1:6" x14ac:dyDescent="0.25">
      <c r="A6" s="30">
        <v>0.059765</v>
      </c>
      <c r="B6" s="31">
        <v>108.73097623205038</v>
      </c>
      <c r="C6" s="31">
        <v>108.72965222159259</v>
      </c>
      <c r="D6" s="31">
        <v>109.21377547425165</v>
      </c>
      <c r="E6" s="31">
        <v>110.42798596808082</v>
      </c>
      <c r="F6" s="31">
        <v>112.81449281341932</v>
      </c>
    </row>
    <row r="7" spans="1:6" x14ac:dyDescent="0.25">
      <c r="A7" s="30">
        <v>0.069765</v>
      </c>
      <c r="B7" s="31">
        <v>83.49249258775876</v>
      </c>
      <c r="C7" s="31">
        <v>81.97172105123032</v>
      </c>
      <c r="D7" s="32">
        <v>80.45094951470186</v>
      </c>
      <c r="E7" s="31">
        <v>78.93017797817339</v>
      </c>
      <c r="F7" s="31">
        <v>77.40940644164493</v>
      </c>
    </row>
    <row r="8" spans="1:6" x14ac:dyDescent="0.25">
      <c r="A8" s="30">
        <v>0.079765</v>
      </c>
      <c r="B8" s="31">
        <v>67.6484407037112</v>
      </c>
      <c r="C8" s="31">
        <v>66.39280898788218</v>
      </c>
      <c r="D8" s="31">
        <v>65.13717727205311</v>
      </c>
      <c r="E8" s="31">
        <v>63.881545556224076</v>
      </c>
      <c r="F8" s="31">
        <v>62.62591384039504</v>
      </c>
    </row>
    <row r="9" spans="1:6" x14ac:dyDescent="0.25">
      <c r="A9" s="30">
        <v>0.089765</v>
      </c>
      <c r="B9" s="31">
        <v>55.42339046160557</v>
      </c>
      <c r="C9" s="31">
        <v>54.369220107217</v>
      </c>
      <c r="D9" s="31">
        <v>53.31504975282841</v>
      </c>
      <c r="E9" s="31">
        <v>52.26087939843982</v>
      </c>
      <c r="F9" s="31">
        <v>51.20670904405122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4208175000</v>
      </c>
      <c r="C5" s="18">
        <v>3991168000</v>
      </c>
      <c r="D5" s="18">
        <v>3811920000</v>
      </c>
      <c r="E5" s="18">
        <v>3616654000</v>
      </c>
      <c r="F5" s="6" t="s">
        <v>91</v>
      </c>
    </row>
    <row r="6" spans="1:6" x14ac:dyDescent="0.25">
      <c r="A6" t="s">
        <v>51</v>
      </c>
      <c r="B6" s="18">
        <v>628242000</v>
      </c>
      <c r="C6" s="18">
        <v>636354000</v>
      </c>
      <c r="D6" s="18">
        <v>703418000</v>
      </c>
      <c r="E6" s="18">
        <v>711040000</v>
      </c>
      <c r="F6" s="6" t="s">
        <v>92</v>
      </c>
    </row>
    <row r="7" spans="1:6" x14ac:dyDescent="0.25">
      <c r="A7" t="s">
        <v>93</v>
      </c>
      <c r="B7" s="18">
        <v>708611000</v>
      </c>
      <c r="C7" s="18">
        <v>648410000</v>
      </c>
      <c r="D7" s="18">
        <v>570776000</v>
      </c>
      <c r="E7" s="18">
        <v>592754000</v>
      </c>
      <c r="F7" s="6" t="s">
        <v>94</v>
      </c>
    </row>
    <row r="8" spans="1:6" x14ac:dyDescent="0.25">
      <c r="A8" t="s">
        <v>95</v>
      </c>
      <c r="B8" s="18">
        <v>819500000</v>
      </c>
      <c r="C8" s="18">
        <v>685267000</v>
      </c>
      <c r="D8" s="18">
        <v>730040000</v>
      </c>
      <c r="E8" s="18">
        <v>458302000</v>
      </c>
      <c r="F8" s="6" t="s">
        <v>96</v>
      </c>
    </row>
    <row r="9" spans="1:6" x14ac:dyDescent="0.25">
      <c r="A9" t="s">
        <v>97</v>
      </c>
      <c r="B9" s="18">
        <v>173077000</v>
      </c>
      <c r="C9" s="18">
        <v>34342000</v>
      </c>
      <c r="D9" s="18">
        <v>130697000</v>
      </c>
      <c r="E9" s="18">
        <v>5317000</v>
      </c>
      <c r="F9" s="6" t="s">
        <v>98</v>
      </c>
    </row>
    <row r="10" spans="1:6" x14ac:dyDescent="0.25">
      <c r="A10" t="s">
        <v>99</v>
      </c>
      <c r="B10" s="18">
        <v>5675388000</v>
      </c>
      <c r="C10" s="18">
        <v>4634605000</v>
      </c>
      <c r="D10" s="18">
        <v>4535979000</v>
      </c>
      <c r="E10" s="18">
        <v>3174617000</v>
      </c>
      <c r="F10" s="6" t="s">
        <v>100</v>
      </c>
    </row>
    <row r="11" spans="1:6" x14ac:dyDescent="0.25">
      <c r="A11" t="s">
        <v>101</v>
      </c>
      <c r="B11" s="18">
        <v>1186533000</v>
      </c>
      <c r="C11" s="18">
        <v>1596583000</v>
      </c>
      <c r="D11" s="18">
        <v>864439000</v>
      </c>
      <c r="E11" s="18">
        <v>1105316000</v>
      </c>
      <c r="F11" s="6" t="s">
        <v>102</v>
      </c>
    </row>
    <row r="12" spans="1:6" x14ac:dyDescent="0.25">
      <c r="A12" t="s">
        <v>34</v>
      </c>
      <c r="B12" s="34">
        <v>147023000</v>
      </c>
      <c r="C12" s="34">
        <v>154346000</v>
      </c>
      <c r="D12" s="34">
        <v>155397000</v>
      </c>
      <c r="E12" s="34">
        <v>160467000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