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<sst xmlns="http://schemas.openxmlformats.org/spreadsheetml/2006/main" count="111" uniqueCount="99">
  <si>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Akamai Technologies, Inc. (AKAM)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</si>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</sst>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0.05178977181914113</v>
      </c>
    </row>
    <row r="7" spans="1:2" x14ac:dyDescent="0.25">
      <c r="A7" t="s">
        <v>5</v>
      </c>
      <c r="B7" s="6">
        <v>0.1724660386124923</v>
      </c>
    </row>
    <row r="8" spans="1:2" x14ac:dyDescent="0.25">
      <c r="A8" t="s">
        <v>6</v>
      </c>
      <c r="B8" s="6">
        <v>0.17778162192474503</v>
      </c>
    </row>
    <row r="9" spans="1:2" x14ac:dyDescent="0.25">
      <c r="A9" t="s">
        <v>7</v>
      </c>
      <c r="B9" s="6">
        <v>0.16112014197112565</v>
      </c>
    </row>
    <row r="10" spans="1:2" x14ac:dyDescent="0.25">
      <c r="A10" t="s">
        <v>8</v>
      </c>
      <c r="B10" s="6">
        <v>0.1711676956058357</v>
      </c>
    </row>
    <row r="11" spans="1:2" x14ac:dyDescent="0.25">
      <c r="A11" t="s">
        <v>9</v>
      </c>
      <c r="B11" s="6">
        <v>0.6693279936087184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14.594061408397183</v>
      </c>
    </row>
    <row r="14" spans="1:3" x14ac:dyDescent="0.25">
      <c r="A14" t="s">
        <v>12</v>
      </c>
      <c r="B14" s="6">
        <v>0.07769950269416026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0.75545</v>
      </c>
      <c r="C19" s="8" t="s">
        <v>19</v>
      </c>
    </row>
    <row r="20" spans="1:2" x14ac:dyDescent="0.25">
      <c r="A20" t="s">
        <v>20</v>
      </c>
      <c r="B20" s="10">
        <f>B17+B19*B18</f>
        <v>0.09152974999999999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15021259776</v>
      </c>
    </row>
    <row r="23" spans="1:2" x14ac:dyDescent="0.25">
      <c r="A23" t="s">
        <v>24</v>
      </c>
      <c r="B23" s="11">
        <v>5675388000</v>
      </c>
    </row>
    <row r="24" spans="1:2" x14ac:dyDescent="0.25">
      <c r="A24" t="s">
        <v>25</v>
      </c>
      <c r="B24" s="10">
        <f>B22/(B22+B23)</f>
        <v>0.7257822589713671</v>
      </c>
    </row>
    <row r="25" spans="1:2" x14ac:dyDescent="0.25">
      <c r="A25" t="s">
        <v>26</v>
      </c>
      <c r="B25" s="10">
        <f>1-B24</f>
        <v>0.27421774102863294</v>
      </c>
    </row>
    <row r="26" spans="1:2" x14ac:dyDescent="0.25">
      <c r="A26" t="s">
        <v>27</v>
      </c>
      <c r="B26" s="12">
        <f>B24*B20+B25*B21*(1-B8)</f>
        <v>0.07769950269416026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4208175000</v>
      </c>
      <c r="C29" s="8" t="s">
        <v>30</v>
      </c>
    </row>
    <row r="30" spans="1:2" x14ac:dyDescent="0.25">
      <c r="A30" t="s">
        <v>31</v>
      </c>
      <c r="B30" s="11">
        <v>4488855000</v>
      </c>
    </row>
    <row r="31" spans="1:2" x14ac:dyDescent="0.25">
      <c r="A31" t="s">
        <v>32</v>
      </c>
      <c r="B31" s="13">
        <v>147023000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0.05178977181914113</v>
      </c>
      <c r="C5" s="10">
        <f>Assumptions!B6</f>
        <v>0.05178977181914113</v>
      </c>
      <c r="D5" s="10">
        <f>Assumptions!B6</f>
        <v>0.05178977181914113</v>
      </c>
      <c r="E5" s="10">
        <f>Assumptions!B6</f>
        <v>0.05178977181914113</v>
      </c>
      <c r="F5" s="10">
        <f>Assumptions!B6</f>
        <v>0.05178977181914113</v>
      </c>
    </row>
    <row r="6" spans="1:6" x14ac:dyDescent="0.25">
      <c r="A6" t="s">
        <v>43</v>
      </c>
      <c r="B6" s="18">
        <f>Assumptions!B29*(1+B5)</f>
        <v>4426115423.025014</v>
      </c>
      <c r="C6" s="18">
        <f>B6*(1+C5)</f>
        <v>4655342930.828661</v>
      </c>
      <c r="D6" s="18">
        <f>C6*(1+D5)</f>
        <v>4896442078.956129</v>
      </c>
      <c r="E6" s="18">
        <f>D6*(1+E5)</f>
        <v>5150027696.950908</v>
      </c>
      <c r="F6" s="18">
        <f>E6*(1+F5)</f>
        <v>5416746456.238252</v>
      </c>
    </row>
    <row r="7" spans="1:6" x14ac:dyDescent="0.25">
      <c r="A7" t="s">
        <v>5</v>
      </c>
      <c r="B7" s="10">
        <f>Assumptions!B7</f>
        <v>0.1724660386124923</v>
      </c>
      <c r="C7" s="10">
        <f>Assumptions!B7</f>
        <v>0.1724660386124923</v>
      </c>
      <c r="D7" s="10">
        <f>Assumptions!B7</f>
        <v>0.1724660386124923</v>
      </c>
      <c r="E7" s="10">
        <f>Assumptions!B7</f>
        <v>0.1724660386124923</v>
      </c>
      <c r="F7" s="10">
        <f>Assumptions!B7</f>
        <v>0.1724660386124923</v>
      </c>
    </row>
    <row r="8" spans="1:6" x14ac:dyDescent="0.25">
      <c r="A8" t="s">
        <v>44</v>
      </c>
      <c r="B8" s="18">
        <f>B6*B7</f>
        <v>763354593.4507797</v>
      </c>
      <c r="C8" s="18">
        <f>C6*C7</f>
        <v>802888553.6626889</v>
      </c>
      <c r="D8" s="18">
        <f>D6*D7</f>
        <v>844469968.6530797</v>
      </c>
      <c r="E8" s="18">
        <f>E6*E7</f>
        <v>888204875.63774</v>
      </c>
      <c r="F8" s="18">
        <f>F6*F7</f>
        <v>934204803.4756671</v>
      </c>
    </row>
    <row r="9" spans="1:6" x14ac:dyDescent="0.25">
      <c r="A9" t="s">
        <v>45</v>
      </c>
      <c r="B9" s="18">
        <f>B8*(1-Assumptions!B8)</f>
        <v>627644175.7233957</v>
      </c>
      <c r="C9" s="18">
        <f>C8*(1-Assumptions!B8)</f>
        <v>660149724.3677233</v>
      </c>
      <c r="D9" s="18">
        <f>D8*(1-Assumptions!B8)</f>
        <v>694338727.9591967</v>
      </c>
      <c r="E9" s="18">
        <f>E8*(1-Assumptions!B8)</f>
        <v>730298372.2453961</v>
      </c>
      <c r="F9" s="18">
        <f>F8*(1-Assumptions!B8)</f>
        <v>768120358.3038753</v>
      </c>
    </row>
    <row r="10" spans="1:6" x14ac:dyDescent="0.25">
      <c r="A10" t="s">
        <v>46</v>
      </c>
      <c r="B10" s="18">
        <f>B6*Assumptions!B9</f>
        <v>713136345.3383791</v>
      </c>
      <c r="C10" s="18">
        <f>C6*Assumptions!B9</f>
        <v>750069513.9393901</v>
      </c>
      <c r="D10" s="18">
        <f>D6*Assumptions!B9</f>
        <v>788915442.9148052</v>
      </c>
      <c r="E10" s="18">
        <f>E6*Assumptions!B9</f>
        <v>829773193.6879596</v>
      </c>
      <c r="F10" s="18">
        <f>F6*Assumptions!B9</f>
        <v>872746958.0506989</v>
      </c>
    </row>
    <row r="11" spans="1:6" x14ac:dyDescent="0.25">
      <c r="A11" t="s">
        <v>47</v>
      </c>
      <c r="B11" s="18">
        <f>-B6*Assumptions!B10</f>
        <v>-757607977.4446403</v>
      </c>
      <c r="C11" s="18">
        <f>-C6*Assumptions!B10</f>
        <v>-796844321.7248592</v>
      </c>
      <c r="D11" s="18">
        <f>-D6*Assumptions!B10</f>
        <v>-838112707.322368</v>
      </c>
      <c r="E11" s="18">
        <f>-E6*Assumptions!B10</f>
        <v>-881518373.193316</v>
      </c>
      <c r="F11" s="18">
        <f>-F6*Assumptions!B10</f>
        <v>-927172008.5953783</v>
      </c>
    </row>
    <row r="12" spans="1:6" x14ac:dyDescent="0.25">
      <c r="A12" t="s">
        <v>48</v>
      </c>
      <c r="B12" s="18">
        <f>-(B6-Assumptions!B29)*Assumptions!B11</f>
        <v>-145873626.06956792</v>
      </c>
      <c r="C12" s="18">
        <f>-(C6-B6)*Assumptions!B11</f>
        <v>-153428387.8781419</v>
      </c>
      <c r="D12" s="18">
        <f>-(D6-C6)*Assumptions!B11</f>
        <v>-161374409.07692942</v>
      </c>
      <c r="E12" s="18">
        <f>-(E6-D6)*Assumptions!B11</f>
        <v>-169731952.9004721</v>
      </c>
      <c r="F12" s="18">
        <f>-(F6-E6)*Assumptions!B11</f>
        <v>-178522332.01160467</v>
      </c>
    </row>
    <row r="13" spans="1:6" x14ac:dyDescent="0.25">
      <c r="A13" s="19" t="s">
        <v>49</v>
      </c>
      <c r="B13" s="20">
        <f>B9+B10+B11+B12</f>
        <v>437298917.54756653</v>
      </c>
      <c r="C13" s="20">
        <f>C9+C10+C11+C12</f>
        <v>459946528.7041123</v>
      </c>
      <c r="D13" s="20">
        <f>D9+D10+D11+D12</f>
        <v>483767054.4747045</v>
      </c>
      <c r="E13" s="20">
        <f>E9+E10+E11+E12</f>
        <v>508821239.8395677</v>
      </c>
      <c r="F13" s="20">
        <f>F9+F10+F11+F12</f>
        <v>535172975.74759126</v>
      </c>
    </row>
    <row r="14" spans="1:6" x14ac:dyDescent="0.25">
      <c r="A14" t="s">
        <v>50</v>
      </c>
      <c r="B14" s="21">
        <f>1/(1+Assumptions!$B$26)^(1-0.5*Assumptions!$B$32)</f>
        <v>0.963276928888553</v>
      </c>
      <c r="C14" s="21">
        <f>1/(1+Assumptions!$B$26)^(2-0.5*Assumptions!$B$32)</f>
        <v>0.8938270143768646</v>
      </c>
      <c r="D14" s="21">
        <f>1/(1+Assumptions!$B$26)^(3-0.5*Assumptions!$B$32)</f>
        <v>0.8293842691236012</v>
      </c>
      <c r="E14" s="21">
        <f>1/(1+Assumptions!$B$26)^(4-0.5*Assumptions!$B$32)</f>
        <v>0.7695876884513807</v>
      </c>
      <c r="F14" s="21">
        <f>1/(1+Assumptions!$B$26)^(5-0.5*Assumptions!$B$32)</f>
        <v>0.7141022952385843</v>
      </c>
    </row>
    <row r="15" spans="1:6" x14ac:dyDescent="0.25">
      <c r="A15" s="19" t="s">
        <v>51</v>
      </c>
      <c r="B15" s="20">
        <f>B13*B14</f>
        <v>421239958.3015084</v>
      </c>
      <c r="C15" s="20">
        <f>C13*C14</f>
        <v>411112632.52459955</v>
      </c>
      <c r="D15" s="20">
        <f>D13*D14</f>
        <v>401228784.90158015</v>
      </c>
      <c r="E15" s="20">
        <f>E13*E14</f>
        <v>391582561.8030985</v>
      </c>
      <c r="F15" s="20">
        <f>F13*F14</f>
        <v>382168250.3310181</v>
      </c>
    </row>
    <row r="17" spans="1:2" x14ac:dyDescent="0.25">
      <c r="A17" s="22" t="s">
        <v>52</v>
      </c>
      <c r="B17" s="23">
        <f>SUM(B15:F15)</f>
        <v>2007332187.8618045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535172975.74759126</v>
      </c>
    </row>
    <row r="5" spans="1:2" x14ac:dyDescent="0.25">
      <c r="A5" t="s">
        <v>56</v>
      </c>
      <c r="B5" s="18">
        <f>IF(Assumptions!$B$33=0,B4,B4-Forecast!F11-Forecast!F10-Forecast!F12)</f>
        <v>768120358.3038753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0.3217523810725619</v>
      </c>
    </row>
    <row r="7" spans="1:2" x14ac:dyDescent="0.25">
      <c r="A7" t="s">
        <v>58</v>
      </c>
      <c r="B7" s="18">
        <f>-MAX(Forecast!F9,0)*B6</f>
        <v>-247144554.23458126</v>
      </c>
    </row>
    <row r="8" spans="1:2" x14ac:dyDescent="0.25">
      <c r="A8" t="s">
        <v>59</v>
      </c>
      <c r="B8" s="18">
        <f>IF(OR(Assumptions!$B$33=0,Assumptions!B12&lt;=0),B5,MAX(B5+B7,0))</f>
        <v>520975804.0692941</v>
      </c>
    </row>
    <row r="9" spans="1:2" x14ac:dyDescent="0.25">
      <c r="A9" t="s">
        <v>60</v>
      </c>
      <c r="B9" s="18">
        <f>B8*(1+Assumptions!B12)/(Assumptions!B26-Assumptions!B12)</f>
        <v>10132926723.617832</v>
      </c>
    </row>
    <row r="10" spans="1:2" x14ac:dyDescent="0.25">
      <c r="A10" t="s">
        <v>61</v>
      </c>
      <c r="B10" s="18">
        <f>B9/(1+Assumptions!B26)^(5-0.5*Assumptions!B32)</f>
        <v>7235946230.819881</v>
      </c>
    </row>
    <row r="11" spans="1:2" x14ac:dyDescent="0.25">
      <c r="A11" t="s">
        <v>62</v>
      </c>
      <c r="B11" s="18">
        <f>Forecast!B17+B10</f>
        <v>9243278418.681686</v>
      </c>
    </row>
    <row r="12" spans="1:2" x14ac:dyDescent="0.25">
      <c r="A12" t="s">
        <v>63</v>
      </c>
      <c r="B12" s="18">
        <f>-Assumptions!B30</f>
        <v>-4488855000</v>
      </c>
    </row>
    <row r="13" spans="1:2" x14ac:dyDescent="0.25">
      <c r="A13" t="s">
        <v>64</v>
      </c>
      <c r="B13" s="18">
        <f>B11+B12</f>
        <v>4754423418.681686</v>
      </c>
    </row>
    <row r="14" spans="1:2" x14ac:dyDescent="0.25">
      <c r="A14" s="19" t="s">
        <v>65</v>
      </c>
      <c r="B14" s="24">
        <f>B13/Assumptions!B31</f>
        <v>32.33795677330544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1806951761.526366</v>
      </c>
    </row>
    <row r="18" spans="1:2" x14ac:dyDescent="0.25">
      <c r="A18" t="s">
        <v>60</v>
      </c>
      <c r="B18" s="18">
        <f>B17*Assumptions!B13</f>
        <v>26370764969.727245</v>
      </c>
    </row>
    <row r="19" spans="1:2" x14ac:dyDescent="0.25">
      <c r="A19" t="s">
        <v>61</v>
      </c>
      <c r="B19" s="18">
        <f>B18/(1+Assumptions!B26)^(5-0.5*Assumptions!B32)</f>
        <v>18831423792.07948</v>
      </c>
    </row>
    <row r="20" spans="1:2" x14ac:dyDescent="0.25">
      <c r="A20" t="s">
        <v>62</v>
      </c>
      <c r="B20" s="18">
        <f>Forecast!B17+B19</f>
        <v>20838755979.941284</v>
      </c>
    </row>
    <row r="21" spans="1:2" x14ac:dyDescent="0.25">
      <c r="A21" t="s">
        <v>63</v>
      </c>
      <c r="B21" s="18">
        <f>-Assumptions!B30</f>
        <v>-4488855000</v>
      </c>
    </row>
    <row r="22" spans="1:2" x14ac:dyDescent="0.25">
      <c r="A22" t="s">
        <v>64</v>
      </c>
      <c r="B22" s="18">
        <f>B20+B21</f>
        <v>16349900979.941284</v>
      </c>
    </row>
    <row r="23" spans="1:2" x14ac:dyDescent="0.25">
      <c r="A23" s="19" t="s">
        <v>65</v>
      </c>
      <c r="B23" s="25">
        <f>B22/Assumptions!B31</f>
        <v>111.2064165466715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104.52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32.33795677330544</v>
      </c>
    </row>
    <row r="29" spans="1:2" x14ac:dyDescent="0.25">
      <c r="A29" s="19" t="s">
        <v>73</v>
      </c>
      <c r="B29" s="12">
        <f>B28/B26-1</f>
        <v>-0.6906050825363046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0.0577</v>
      </c>
      <c r="B5" s="31">
        <v>58.5210232019103</v>
      </c>
      <c r="C5" s="31">
        <v>60.6078466251431</v>
      </c>
      <c r="D5" s="31">
        <v>63.2396555404952</v>
      </c>
      <c r="E5" s="31">
        <v>66.71156844550416</v>
      </c>
      <c r="F5" s="31">
        <v>71.57872013509741</v>
      </c>
    </row>
    <row r="6" spans="1:6" x14ac:dyDescent="0.25">
      <c r="A6" s="30">
        <v>0.0677</v>
      </c>
      <c r="B6" s="31">
        <v>41.76937648331004</v>
      </c>
      <c r="C6" s="31">
        <v>42.05672154579454</v>
      </c>
      <c r="D6" s="31">
        <v>42.344066608279014</v>
      </c>
      <c r="E6" s="31">
        <v>42.63141167076351</v>
      </c>
      <c r="F6" s="31">
        <v>42.91875673324801</v>
      </c>
    </row>
    <row r="7" spans="1:6" x14ac:dyDescent="0.25">
      <c r="A7" s="30">
        <v>0.0777</v>
      </c>
      <c r="B7" s="31">
        <v>31.857367970136895</v>
      </c>
      <c r="C7" s="31">
        <v>32.097446049601416</v>
      </c>
      <c r="D7" s="32">
        <v>32.33752412906589</v>
      </c>
      <c r="E7" s="31">
        <v>32.57760220853039</v>
      </c>
      <c r="F7" s="31">
        <v>32.81768028799489</v>
      </c>
    </row>
    <row r="8" spans="1:6" x14ac:dyDescent="0.25">
      <c r="A8" s="30">
        <v>0.0877</v>
      </c>
      <c r="B8" s="31">
        <v>24.23788931395531</v>
      </c>
      <c r="C8" s="31">
        <v>24.441933078780956</v>
      </c>
      <c r="D8" s="31">
        <v>24.6459768436066</v>
      </c>
      <c r="E8" s="31">
        <v>24.850020608432246</v>
      </c>
      <c r="F8" s="31">
        <v>25.05406437325789</v>
      </c>
    </row>
    <row r="9" spans="1:6" x14ac:dyDescent="0.25">
      <c r="A9" s="30">
        <v>0.0977</v>
      </c>
      <c r="B9" s="31">
        <v>18.205333572304582</v>
      </c>
      <c r="C9" s="31">
        <v>18.381102841582454</v>
      </c>
      <c r="D9" s="31">
        <v>18.55687211086031</v>
      </c>
      <c r="E9" s="31">
        <v>18.732641380138176</v>
      </c>
      <c r="F9" s="31">
        <v>18.90841064941603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4208175000</v>
      </c>
      <c r="C5" s="18">
        <v>3991168000</v>
      </c>
      <c r="D5" s="18">
        <v>3811920000</v>
      </c>
      <c r="E5" s="18">
        <v>3616654000</v>
      </c>
      <c r="F5" s="8" t="s">
        <v>84</v>
      </c>
    </row>
    <row r="6" spans="1:6" x14ac:dyDescent="0.25">
      <c r="A6" t="s">
        <v>44</v>
      </c>
      <c r="B6" s="18">
        <v>628242000</v>
      </c>
      <c r="C6" s="18">
        <v>636354000</v>
      </c>
      <c r="D6" s="18">
        <v>703418000</v>
      </c>
      <c r="E6" s="18">
        <v>711040000</v>
      </c>
      <c r="F6" s="8" t="s">
        <v>85</v>
      </c>
    </row>
    <row r="7" spans="1:6" x14ac:dyDescent="0.25">
      <c r="A7" t="s">
        <v>86</v>
      </c>
      <c r="B7" s="18">
        <v>708611000</v>
      </c>
      <c r="C7" s="18">
        <v>648410000</v>
      </c>
      <c r="D7" s="18">
        <v>570776000</v>
      </c>
      <c r="E7" s="18">
        <v>592754000</v>
      </c>
      <c r="F7" s="8" t="s">
        <v>87</v>
      </c>
    </row>
    <row r="8" spans="1:6" x14ac:dyDescent="0.25">
      <c r="A8" t="s">
        <v>88</v>
      </c>
      <c r="B8" s="18">
        <v>819500000</v>
      </c>
      <c r="C8" s="18">
        <v>685267000</v>
      </c>
      <c r="D8" s="18">
        <v>730040000</v>
      </c>
      <c r="E8" s="18">
        <v>458302000</v>
      </c>
      <c r="F8" s="8" t="s">
        <v>89</v>
      </c>
    </row>
    <row r="9" spans="1:6" x14ac:dyDescent="0.25">
      <c r="A9" t="s">
        <v>90</v>
      </c>
      <c r="B9" s="18">
        <v>173077000</v>
      </c>
      <c r="C9" s="18">
        <v>34342000</v>
      </c>
      <c r="D9" s="18">
        <v>130697000</v>
      </c>
      <c r="E9" s="18">
        <v>5317000</v>
      </c>
      <c r="F9" s="8" t="s">
        <v>91</v>
      </c>
    </row>
    <row r="10" spans="1:6" x14ac:dyDescent="0.25">
      <c r="A10" t="s">
        <v>92</v>
      </c>
      <c r="B10" s="18">
        <v>5675388000</v>
      </c>
      <c r="C10" s="18">
        <v>4634605000</v>
      </c>
      <c r="D10" s="18">
        <v>4535979000</v>
      </c>
      <c r="E10" s="18">
        <v>3174617000</v>
      </c>
      <c r="F10" s="8" t="s">
        <v>93</v>
      </c>
    </row>
    <row r="11" spans="1:6" x14ac:dyDescent="0.25">
      <c r="A11" t="s">
        <v>94</v>
      </c>
      <c r="B11" s="18">
        <v>1186533000</v>
      </c>
      <c r="C11" s="18">
        <v>1596583000</v>
      </c>
      <c r="D11" s="18">
        <v>864439000</v>
      </c>
      <c r="E11" s="18">
        <v>1105316000</v>
      </c>
      <c r="F11" s="8" t="s">
        <v>95</v>
      </c>
    </row>
    <row r="12" spans="1:6" x14ac:dyDescent="0.25">
      <c r="A12" t="s">
        <v>32</v>
      </c>
      <c r="B12" s="34">
        <v>147023000</v>
      </c>
      <c r="C12" s="34">
        <v>154346000</v>
      </c>
      <c r="D12" s="34">
        <v>155397000</v>
      </c>
      <c r="E12" s="34">
        <v>160467000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2026-09-19T00:07:11Z</dcterms:modified>
</cp:coreProperties>
</file>