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<sst xmlns="http://schemas.openxmlformats.org/spreadsheetml/2006/main" count="112" uniqueCount="100">
  <si>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Akzo Nobel N.V. (AKZA.AS)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</si>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</sst>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-0.021608052920361498</v>
      </c>
    </row>
    <row r="7" spans="1:2" x14ac:dyDescent="0.25">
      <c r="A7" t="s">
        <v>5</v>
      </c>
      <c r="B7" s="6">
        <v>0.09048415549888467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0.03481086614957114</v>
      </c>
    </row>
    <row r="10" spans="1:2" x14ac:dyDescent="0.25">
      <c r="A10" t="s">
        <v>8</v>
      </c>
      <c r="B10" s="6">
        <v>0.028179912882195877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8.141447387808041</v>
      </c>
    </row>
    <row r="14" spans="1:3" x14ac:dyDescent="0.25">
      <c r="A14" t="s">
        <v>12</v>
      </c>
      <c r="B14" s="6">
        <v>0.0868156691691337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1.11993</v>
      </c>
      <c r="C19" s="8" t="s">
        <v>19</v>
      </c>
    </row>
    <row r="20" spans="1:2" x14ac:dyDescent="0.25">
      <c r="A20" t="s">
        <v>20</v>
      </c>
      <c r="B20" s="10">
        <f>B17+B19*B18</f>
        <v>0.11479545000000002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9612111872</v>
      </c>
    </row>
    <row r="23" spans="1:2" x14ac:dyDescent="0.25">
      <c r="A23" t="s">
        <v>24</v>
      </c>
      <c r="B23" s="11">
        <v>4862000000</v>
      </c>
    </row>
    <row r="24" spans="1:2" x14ac:dyDescent="0.25">
      <c r="A24" t="s">
        <v>25</v>
      </c>
      <c r="B24" s="10">
        <f>B22/(B22+B23)</f>
        <v>0.6640899253096502</v>
      </c>
    </row>
    <row r="25" spans="1:2" x14ac:dyDescent="0.25">
      <c r="A25" t="s">
        <v>26</v>
      </c>
      <c r="B25" s="10">
        <f>1-B24</f>
        <v>0.33591007469034984</v>
      </c>
    </row>
    <row r="26" spans="1:2" x14ac:dyDescent="0.25">
      <c r="A26" t="s">
        <v>27</v>
      </c>
      <c r="B26" s="12">
        <f>B24*B20+B25*B21*(1-B8)</f>
        <v>0.0868156691691337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10158000000</v>
      </c>
      <c r="C29" s="8" t="s">
        <v>30</v>
      </c>
    </row>
    <row r="30" spans="1:2" x14ac:dyDescent="0.25">
      <c r="A30" t="s">
        <v>31</v>
      </c>
      <c r="B30" s="11">
        <v>2942000000</v>
      </c>
    </row>
    <row r="31" spans="1:2" x14ac:dyDescent="0.25">
      <c r="A31" t="s">
        <v>32</v>
      </c>
      <c r="B31" s="13">
        <v>172014938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-0.021608052920361498</v>
      </c>
      <c r="C5" s="10">
        <f>Assumptions!B6</f>
        <v>-0.021608052920361498</v>
      </c>
      <c r="D5" s="10">
        <f>Assumptions!B6</f>
        <v>-0.021608052920361498</v>
      </c>
      <c r="E5" s="10">
        <f>Assumptions!B6</f>
        <v>-0.021608052920361498</v>
      </c>
      <c r="F5" s="10">
        <f>Assumptions!B6</f>
        <v>-0.021608052920361498</v>
      </c>
    </row>
    <row r="6" spans="1:6" x14ac:dyDescent="0.25">
      <c r="A6" t="s">
        <v>43</v>
      </c>
      <c r="B6" s="18">
        <f>Assumptions!B29*(1+B5)</f>
        <v>9938505398.434967</v>
      </c>
      <c r="C6" s="18">
        <f>B6*(1+C5)</f>
        <v>9723753647.836287</v>
      </c>
      <c r="D6" s="18">
        <f>C6*(1+D5)</f>
        <v>9513642264.429281</v>
      </c>
      <c r="E6" s="18">
        <f>D6*(1+E5)</f>
        <v>9308070978.914106</v>
      </c>
      <c r="F6" s="18">
        <f>E6*(1+F5)</f>
        <v>9106941688.61525</v>
      </c>
    </row>
    <row r="7" spans="1:6" x14ac:dyDescent="0.25">
      <c r="A7" t="s">
        <v>5</v>
      </c>
      <c r="B7" s="10">
        <f>Assumptions!B7</f>
        <v>0.09048415549888467</v>
      </c>
      <c r="C7" s="10">
        <f>Assumptions!B7</f>
        <v>0.09048415549888467</v>
      </c>
      <c r="D7" s="10">
        <f>Assumptions!B7</f>
        <v>0.09048415549888467</v>
      </c>
      <c r="E7" s="10">
        <f>Assumptions!B7</f>
        <v>0.09048415549888467</v>
      </c>
      <c r="F7" s="10">
        <f>Assumptions!B7</f>
        <v>0.09048415549888467</v>
      </c>
    </row>
    <row r="8" spans="1:6" x14ac:dyDescent="0.25">
      <c r="A8" t="s">
        <v>44</v>
      </c>
      <c r="B8" s="18">
        <f>B6*B7</f>
        <v>899277267.8984942</v>
      </c>
      <c r="C8" s="18">
        <f>C6*C7</f>
        <v>879845637.1036656</v>
      </c>
      <c r="D8" s="18">
        <f>D6*D7</f>
        <v>860833886.0153803</v>
      </c>
      <c r="E8" s="18">
        <f>E6*E7</f>
        <v>842232941.8507196</v>
      </c>
      <c r="F8" s="18">
        <f>F6*F7</f>
        <v>824033927.8719375</v>
      </c>
    </row>
    <row r="9" spans="1:6" x14ac:dyDescent="0.25">
      <c r="A9" t="s">
        <v>45</v>
      </c>
      <c r="B9" s="18">
        <f>B8*(1-Assumptions!B8)</f>
        <v>674457950.9238707</v>
      </c>
      <c r="C9" s="18">
        <f>C8*(1-Assumptions!B8)</f>
        <v>659884227.8277493</v>
      </c>
      <c r="D9" s="18">
        <f>D8*(1-Assumptions!B8)</f>
        <v>645625414.5115352</v>
      </c>
      <c r="E9" s="18">
        <f>E8*(1-Assumptions!B8)</f>
        <v>631674706.3880397</v>
      </c>
      <c r="F9" s="18">
        <f>F8*(1-Assumptions!B8)</f>
        <v>618025445.9039531</v>
      </c>
    </row>
    <row r="10" spans="1:6" x14ac:dyDescent="0.25">
      <c r="A10" t="s">
        <v>46</v>
      </c>
      <c r="B10" s="18">
        <f>B6*Assumptions!B9</f>
        <v>345967981.15170985</v>
      </c>
      <c r="C10" s="18">
        <f>C6*Assumptions!B9</f>
        <v>338492286.7062331</v>
      </c>
      <c r="D10" s="18">
        <f>D6*Assumptions!B9</f>
        <v>331178127.4619506</v>
      </c>
      <c r="E10" s="18">
        <f>E6*Assumptions!B9</f>
        <v>324022012.9576866</v>
      </c>
      <c r="F10" s="18">
        <f>F6*Assumptions!B9</f>
        <v>317020528.15433484</v>
      </c>
    </row>
    <row r="11" spans="1:6" x14ac:dyDescent="0.25">
      <c r="A11" t="s">
        <v>47</v>
      </c>
      <c r="B11" s="18">
        <f>-B6*Assumptions!B10</f>
        <v>-280066216.3071308</v>
      </c>
      <c r="C11" s="18">
        <f>-C6*Assumptions!B10</f>
        <v>-274014530.6839609</v>
      </c>
      <c r="D11" s="18">
        <f>-D6*Assumptions!B10</f>
        <v>-268093610.20399386</v>
      </c>
      <c r="E11" s="18">
        <f>-E6*Assumptions!B10</f>
        <v>-262300629.28709522</v>
      </c>
      <c r="F11" s="18">
        <f>-F6*Assumptions!B10</f>
        <v>-256632823.40841556</v>
      </c>
    </row>
    <row r="12" spans="1:6" x14ac:dyDescent="0.25">
      <c r="A12" t="s">
        <v>48</v>
      </c>
      <c r="B12" s="18">
        <f>-(B6-Assumptions!B29)*Assumptions!B11</f>
        <v>219494601.56503296</v>
      </c>
      <c r="C12" s="18">
        <f>-(C6-B6)*Assumptions!B11</f>
        <v>214751750.5986805</v>
      </c>
      <c r="D12" s="18">
        <f>-(D6-C6)*Assumptions!B11</f>
        <v>210111383.4070053</v>
      </c>
      <c r="E12" s="18">
        <f>-(E6-D6)*Assumptions!B11</f>
        <v>205571285.51517487</v>
      </c>
      <c r="F12" s="18">
        <f>-(F6-E6)*Assumptions!B11</f>
        <v>201129290.29885674</v>
      </c>
    </row>
    <row r="13" spans="1:6" x14ac:dyDescent="0.25">
      <c r="A13" s="19" t="s">
        <v>49</v>
      </c>
      <c r="B13" s="20">
        <f>B9+B10+B11+B12</f>
        <v>959854317.3334827</v>
      </c>
      <c r="C13" s="20">
        <f>C9+C10+C11+C12</f>
        <v>939113734.4487019</v>
      </c>
      <c r="D13" s="20">
        <f>D9+D10+D11+D12</f>
        <v>918821315.1764972</v>
      </c>
      <c r="E13" s="20">
        <f>E9+E10+E11+E12</f>
        <v>898967375.5738059</v>
      </c>
      <c r="F13" s="20">
        <f>F9+F10+F11+F12</f>
        <v>879542440.948729</v>
      </c>
    </row>
    <row r="14" spans="1:6" x14ac:dyDescent="0.25">
      <c r="A14" t="s">
        <v>50</v>
      </c>
      <c r="B14" s="21">
        <f>1/(1+Assumptions!$B$26)^(1-0.5*Assumptions!$B$32)</f>
        <v>0.9592284571810755</v>
      </c>
      <c r="C14" s="21">
        <f>1/(1+Assumptions!$B$26)^(2-0.5*Assumptions!$B$32)</f>
        <v>0.8826045523565205</v>
      </c>
      <c r="D14" s="21">
        <f>1/(1+Assumptions!$B$26)^(3-0.5*Assumptions!$B$32)</f>
        <v>0.8121014238148297</v>
      </c>
      <c r="E14" s="21">
        <f>1/(1+Assumptions!$B$26)^(4-0.5*Assumptions!$B$32)</f>
        <v>0.7472301392522965</v>
      </c>
      <c r="F14" s="21">
        <f>1/(1+Assumptions!$B$26)^(5-0.5*Assumptions!$B$32)</f>
        <v>0.6875408226526133</v>
      </c>
    </row>
    <row r="15" spans="1:6" x14ac:dyDescent="0.25">
      <c r="A15" s="19" t="s">
        <v>51</v>
      </c>
      <c r="B15" s="20">
        <f>B13*B14</f>
        <v>920719575.9343911</v>
      </c>
      <c r="C15" s="20">
        <f>C13*C14</f>
        <v>828866057.2049568</v>
      </c>
      <c r="D15" s="20">
        <f>D13*D14</f>
        <v>746176098.2862478</v>
      </c>
      <c r="E15" s="20">
        <f>E13*E14</f>
        <v>671735517.2332866</v>
      </c>
      <c r="F15" s="20">
        <f>F13*F14</f>
        <v>604721333.4077767</v>
      </c>
    </row>
    <row r="17" spans="1:2" x14ac:dyDescent="0.25">
      <c r="A17" s="22" t="s">
        <v>52</v>
      </c>
      <c r="B17" s="23">
        <f>SUM(B15:F15)</f>
        <v>3772218582.066659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879542440.948729</v>
      </c>
    </row>
    <row r="5" spans="1:2" x14ac:dyDescent="0.25">
      <c r="A5" t="s">
        <v>56</v>
      </c>
      <c r="B5" s="18">
        <f>IF(Assumptions!$B$33=0,B4,B4-Forecast!F11-Forecast!F10-Forecast!F12)</f>
        <v>670073945.2428495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0.28796644936636</v>
      </c>
    </row>
    <row r="7" spans="1:2" x14ac:dyDescent="0.25">
      <c r="A7" t="s">
        <v>58</v>
      </c>
      <c r="B7" s="18">
        <f>-MAX(Forecast!F9,0)*B6</f>
        <v>-192958814.8244921</v>
      </c>
    </row>
    <row r="8" spans="1:2" x14ac:dyDescent="0.25">
      <c r="A8" t="s">
        <v>59</v>
      </c>
      <c r="B8" s="18">
        <f>IF(OR(Assumptions!$B$33=0,Assumptions!B12&lt;=0),B5,MAX(B5+B7,0))</f>
        <v>477115130.4183574</v>
      </c>
    </row>
    <row r="9" spans="1:2" x14ac:dyDescent="0.25">
      <c r="A9" t="s">
        <v>60</v>
      </c>
      <c r="B9" s="18">
        <f>B8*(1+Assumptions!B12)/(Assumptions!B26-Assumptions!B12)</f>
        <v>7911311407.804174</v>
      </c>
    </row>
    <row r="10" spans="1:2" x14ac:dyDescent="0.25">
      <c r="A10" t="s">
        <v>61</v>
      </c>
      <c r="B10" s="18">
        <f>B9/(1+Assumptions!B26)^(5-0.5*Assumptions!B32)</f>
        <v>5439349553.582686</v>
      </c>
    </row>
    <row r="11" spans="1:2" x14ac:dyDescent="0.25">
      <c r="A11" t="s">
        <v>62</v>
      </c>
      <c r="B11" s="18">
        <f>Forecast!B17+B10</f>
        <v>9211568135.649345</v>
      </c>
    </row>
    <row r="12" spans="1:2" x14ac:dyDescent="0.25">
      <c r="A12" t="s">
        <v>63</v>
      </c>
      <c r="B12" s="18">
        <f>-Assumptions!B30</f>
        <v>-2942000000</v>
      </c>
    </row>
    <row r="13" spans="1:2" x14ac:dyDescent="0.25">
      <c r="A13" t="s">
        <v>64</v>
      </c>
      <c r="B13" s="18">
        <f>B11+B12</f>
        <v>6269568135.649345</v>
      </c>
    </row>
    <row r="14" spans="1:2" x14ac:dyDescent="0.25">
      <c r="A14" s="19" t="s">
        <v>65</v>
      </c>
      <c r="B14" s="24">
        <f>B13/Assumptions!B31</f>
        <v>36.44781208274682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1141054456.0262723</v>
      </c>
    </row>
    <row r="18" spans="1:2" x14ac:dyDescent="0.25">
      <c r="A18" t="s">
        <v>60</v>
      </c>
      <c r="B18" s="18">
        <f>B17*Assumptions!B13</f>
        <v>9289834820.36182</v>
      </c>
    </row>
    <row r="19" spans="1:2" x14ac:dyDescent="0.25">
      <c r="A19" t="s">
        <v>61</v>
      </c>
      <c r="B19" s="18">
        <f>B18/(1+Assumptions!B26)^(5-0.5*Assumptions!B32)</f>
        <v>6387140674.698458</v>
      </c>
    </row>
    <row r="20" spans="1:2" x14ac:dyDescent="0.25">
      <c r="A20" t="s">
        <v>62</v>
      </c>
      <c r="B20" s="18">
        <f>Forecast!B17+B19</f>
        <v>10159359256.765118</v>
      </c>
    </row>
    <row r="21" spans="1:2" x14ac:dyDescent="0.25">
      <c r="A21" t="s">
        <v>63</v>
      </c>
      <c r="B21" s="18">
        <f>-Assumptions!B30</f>
        <v>-2942000000</v>
      </c>
    </row>
    <row r="22" spans="1:2" x14ac:dyDescent="0.25">
      <c r="A22" t="s">
        <v>64</v>
      </c>
      <c r="B22" s="18">
        <f>B20+B21</f>
        <v>7217359256.765118</v>
      </c>
    </row>
    <row r="23" spans="1:2" x14ac:dyDescent="0.25">
      <c r="A23" s="19" t="s">
        <v>65</v>
      </c>
      <c r="B23" s="25">
        <f>B22/Assumptions!B31</f>
        <v>41.957747046161295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56.08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36.44781208274682</v>
      </c>
    </row>
    <row r="29" spans="1:2" x14ac:dyDescent="0.25">
      <c r="A29" s="19" t="s">
        <v>73</v>
      </c>
      <c r="B29" s="12">
        <f>B28/B26-1</f>
        <v>-0.3500746775544432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0.066816</v>
      </c>
      <c r="B5" s="31">
        <v>51.54056548343185</v>
      </c>
      <c r="C5" s="31">
        <v>52.493039711728926</v>
      </c>
      <c r="D5" s="31">
        <v>53.62737286984805</v>
      </c>
      <c r="E5" s="31">
        <v>55.01766002372066</v>
      </c>
      <c r="F5" s="31">
        <v>56.78457347458829</v>
      </c>
    </row>
    <row r="6" spans="1:6" x14ac:dyDescent="0.25">
      <c r="A6" s="30">
        <v>0.076816</v>
      </c>
      <c r="B6" s="31">
        <v>42.18979959017815</v>
      </c>
      <c r="C6" s="31">
        <v>42.37153440556156</v>
      </c>
      <c r="D6" s="31">
        <v>42.55326922094496</v>
      </c>
      <c r="E6" s="31">
        <v>42.73500403632836</v>
      </c>
      <c r="F6" s="31">
        <v>42.91673885171177</v>
      </c>
    </row>
    <row r="7" spans="1:6" x14ac:dyDescent="0.25">
      <c r="A7" s="30">
        <v>0.086816</v>
      </c>
      <c r="B7" s="31">
        <v>36.13913331462974</v>
      </c>
      <c r="C7" s="31">
        <v>36.293383144952735</v>
      </c>
      <c r="D7" s="32">
        <v>36.447632975275724</v>
      </c>
      <c r="E7" s="31">
        <v>36.60188280559873</v>
      </c>
      <c r="F7" s="31">
        <v>36.75613263592172</v>
      </c>
    </row>
    <row r="8" spans="1:6" x14ac:dyDescent="0.25">
      <c r="A8" s="30">
        <v>0.096816</v>
      </c>
      <c r="B8" s="31">
        <v>31.31757241684755</v>
      </c>
      <c r="C8" s="31">
        <v>31.450304967360722</v>
      </c>
      <c r="D8" s="31">
        <v>31.58303751787388</v>
      </c>
      <c r="E8" s="31">
        <v>31.715770068387048</v>
      </c>
      <c r="F8" s="31">
        <v>31.848502618900206</v>
      </c>
    </row>
    <row r="9" spans="1:6" x14ac:dyDescent="0.25">
      <c r="A9" s="30">
        <v>0.106816</v>
      </c>
      <c r="B9" s="31">
        <v>27.380923469190332</v>
      </c>
      <c r="C9" s="31">
        <v>27.496415184873857</v>
      </c>
      <c r="D9" s="31">
        <v>27.61190690055737</v>
      </c>
      <c r="E9" s="31">
        <v>27.72739861624089</v>
      </c>
      <c r="F9" s="31">
        <v>27.8428903319244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10158000000</v>
      </c>
      <c r="C5" s="18">
        <v>10711000000</v>
      </c>
      <c r="D5" s="18">
        <v>10668000000</v>
      </c>
      <c r="E5" s="18">
        <v>10846000000</v>
      </c>
      <c r="F5" s="8" t="s">
        <v>84</v>
      </c>
    </row>
    <row r="6" spans="1:6" x14ac:dyDescent="0.25">
      <c r="A6" t="s">
        <v>44</v>
      </c>
      <c r="B6" s="18">
        <v>1164000000</v>
      </c>
      <c r="C6" s="18">
        <v>917000000</v>
      </c>
      <c r="D6" s="18">
        <v>1029000000</v>
      </c>
      <c r="E6" s="18">
        <v>708000000</v>
      </c>
      <c r="F6" s="8" t="s">
        <v>85</v>
      </c>
    </row>
    <row r="7" spans="1:6" x14ac:dyDescent="0.25">
      <c r="A7" t="s">
        <v>86</v>
      </c>
      <c r="B7" s="18">
        <v>378000000</v>
      </c>
      <c r="C7" s="18">
        <v>371000000</v>
      </c>
      <c r="D7" s="18">
        <v>357000000</v>
      </c>
      <c r="E7" s="18">
        <v>368000000</v>
      </c>
      <c r="F7" s="8" t="s">
        <v>87</v>
      </c>
    </row>
    <row r="8" spans="1:6" x14ac:dyDescent="0.25">
      <c r="A8" t="s">
        <v>88</v>
      </c>
      <c r="B8" s="18">
        <v>309000000</v>
      </c>
      <c r="C8" s="18">
        <v>306000000</v>
      </c>
      <c r="D8" s="18">
        <v>286000000</v>
      </c>
      <c r="E8" s="18">
        <v>292000000</v>
      </c>
      <c r="F8" s="8" t="s">
        <v>89</v>
      </c>
    </row>
    <row r="9" spans="1:6" x14ac:dyDescent="0.25">
      <c r="A9" t="s">
        <v>90</v>
      </c>
      <c r="B9" s="18">
        <v>-453000000</v>
      </c>
      <c r="C9" s="18">
        <v>199000000</v>
      </c>
      <c r="D9" s="18">
        <v>-201000000</v>
      </c>
      <c r="E9" s="18">
        <v>573000000</v>
      </c>
      <c r="F9" s="8" t="s">
        <v>91</v>
      </c>
    </row>
    <row r="10" spans="1:6" x14ac:dyDescent="0.25">
      <c r="A10" t="s">
        <v>92</v>
      </c>
      <c r="B10" s="18">
        <v>4862000000</v>
      </c>
      <c r="C10" s="18">
        <v>5368000000</v>
      </c>
      <c r="D10" s="18">
        <v>5563000000</v>
      </c>
      <c r="E10" s="18">
        <v>5875000000</v>
      </c>
      <c r="F10" s="8" t="s">
        <v>93</v>
      </c>
    </row>
    <row r="11" spans="1:6" x14ac:dyDescent="0.25">
      <c r="A11" t="s">
        <v>94</v>
      </c>
      <c r="B11" s="18">
        <v>1920000000</v>
      </c>
      <c r="C11" s="18">
        <v>1467000000</v>
      </c>
      <c r="D11" s="18">
        <v>1778000000</v>
      </c>
      <c r="E11" s="18">
        <v>1786000000</v>
      </c>
      <c r="F11" s="8" t="s">
        <v>95</v>
      </c>
    </row>
    <row r="12" spans="1:6" x14ac:dyDescent="0.25">
      <c r="A12" t="s">
        <v>32</v>
      </c>
      <c r="B12" s="34">
        <v>172014938</v>
      </c>
      <c r="C12" s="34">
        <v>171612875</v>
      </c>
      <c r="D12" s="34">
        <v>171338756</v>
      </c>
      <c r="E12" s="34">
        <v>175313498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