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<sst xmlns="http://schemas.openxmlformats.org/spreadsheetml/2006/main" count="114" uniqueCount="102">
  <si>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Albemarle Corporation (ALB)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</si>
  <si>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</si>
  <si>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</si>
  <si>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</si>
  <si>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</si>
  <si>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</si>
  <si>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</si>
  <si>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</si>
  <si>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</si>
  <si>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</si>
  <si>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</si>
  <si>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</si>
  <si>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</si>
  <si>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</si>
  <si>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</si>
  <si>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</si>
  <si>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</si>
  <si>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</si>
  <si>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</si>
  <si>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</si>
  <si>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</si>
  <si>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</si>
  <si>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</si>
  <si>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</si>
  <si>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</si>
  <si>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</si>
  <si>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</si>
  <si>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</si>
  <si>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</si>
  <si>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</si>
  <si>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</si>
  <si>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</si>
  <si>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</si>
  <si>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</si>
  <si>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</si>
  <si>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</si>
  <si>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</si>
  <si>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</si>
  <si>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</si>
  <si>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</si>
  <si>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</si>
  <si>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</si>
  <si>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</si>
  <si>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</si>
  <si>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</si>
  <si>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</si>
  <si>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</si>
  <si>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</si>
  <si>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</si>
  <si>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</si>
  <si>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</si>
  <si>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</si>
  <si>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</si>
  <si>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</si>
  <si>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</si>
  <si>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</si>
  <si>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</si>
  <si>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</si>
  <si>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</si>
  <si>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</si>
  <si>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</si>
  <si>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</si>
  <si>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</si>
  <si>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</si>
  <si>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</si>
  <si>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</si>
  <si>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</si>
  <si>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</si>
  <si>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</si>
  <si>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</si>
  <si>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</si>
  <si>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</si>
  <si>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</si>
  <si>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</si>
  <si>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</si>
  <si>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</si>
  <si>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</si>
  <si>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</si>
  <si>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</si>
  <si>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</si>
  <si>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</si>
  <si>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</si>
  <si>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</si>
  <si>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</si>
  <si>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</si>
  <si>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</si>
  <si>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</si>
  <si>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</si>
  <si>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</si>
  <si>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</si>
  <si>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</si>
  <si>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</si>
  <si>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</si>
  <si>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</si>
  <si>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</si>
  <si>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</si>
  <si>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</si>
  <si>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</si>
  <si>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</si>
  <si>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20.6% of revenue against depreciation of 8.1%. A perpetuity has to be a steady state, so the terminal year uses maintenance capex at depreciation and then charges the reinvestment terminal growth requires (g/ROIC of NOPAT). The bridge is shown under Terminal Value.</t>
  </si>
  <si>
    <t>Current EV/EBITDA of 20.3x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</si>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</sst>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-0.11101948515436078</v>
      </c>
    </row>
    <row r="7" spans="1:2" x14ac:dyDescent="0.25">
      <c r="A7" t="s">
        <v>5</v>
      </c>
      <c r="B7" s="6">
        <v>0.06300327925736218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0.08083640215623707</v>
      </c>
    </row>
    <row r="10" spans="1:2" x14ac:dyDescent="0.25">
      <c r="A10" t="s">
        <v>8</v>
      </c>
      <c r="B10" s="6">
        <v>0.2058948881812186</v>
      </c>
    </row>
    <row r="11" spans="1:2" x14ac:dyDescent="0.25">
      <c r="A11" t="s">
        <v>9</v>
      </c>
      <c r="B11" s="6">
        <v>0.43849046122957697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0.1032390798158609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1.22378</v>
      </c>
      <c r="C19" s="8" t="s">
        <v>19</v>
      </c>
    </row>
    <row r="20" spans="1:2" x14ac:dyDescent="0.25">
      <c r="A20" t="s">
        <v>20</v>
      </c>
      <c r="B20" s="10">
        <f>B17+B19*B18</f>
        <v>0.1172879</v>
      </c>
    </row>
    <row r="21" spans="1:3" x14ac:dyDescent="0.25">
      <c r="A21" t="s">
        <v>21</v>
      </c>
      <c r="B21" s="6">
        <v>0.06008133292247332</v>
      </c>
      <c r="C21" s="8" t="s">
        <v>22</v>
      </c>
    </row>
    <row r="22" spans="1:2" x14ac:dyDescent="0.25">
      <c r="A22" t="s">
        <v>23</v>
      </c>
      <c r="B22" s="11">
        <v>13087941632</v>
      </c>
    </row>
    <row r="23" spans="1:2" x14ac:dyDescent="0.25">
      <c r="A23" t="s">
        <v>24</v>
      </c>
      <c r="B23" s="11">
        <v>3296651000</v>
      </c>
    </row>
    <row r="24" spans="1:2" x14ac:dyDescent="0.25">
      <c r="A24" t="s">
        <v>25</v>
      </c>
      <c r="B24" s="10">
        <f>B22/(B22+B23)</f>
        <v>0.7987956689529491</v>
      </c>
    </row>
    <row r="25" spans="1:2" x14ac:dyDescent="0.25">
      <c r="A25" t="s">
        <v>26</v>
      </c>
      <c r="B25" s="10">
        <f>1-B24</f>
        <v>0.20120433104705093</v>
      </c>
    </row>
    <row r="26" spans="1:2" x14ac:dyDescent="0.25">
      <c r="A26" t="s">
        <v>27</v>
      </c>
      <c r="B26" s="12">
        <f>B24*B20+B25*B21*(1-B8)</f>
        <v>0.1032390798158609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5142733000</v>
      </c>
      <c r="C29" s="8" t="s">
        <v>30</v>
      </c>
    </row>
    <row r="30" spans="1:2" x14ac:dyDescent="0.25">
      <c r="A30" t="s">
        <v>31</v>
      </c>
      <c r="B30" s="11">
        <v>1678650000</v>
      </c>
    </row>
    <row r="31" spans="1:2" x14ac:dyDescent="0.25">
      <c r="A31" t="s">
        <v>32</v>
      </c>
      <c r="B31" s="13">
        <v>117664000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-0.11101948515436078</v>
      </c>
      <c r="C5" s="10">
        <f>Assumptions!B6</f>
        <v>-0.11101948515436078</v>
      </c>
      <c r="D5" s="10">
        <f>Assumptions!B6</f>
        <v>-0.11101948515436078</v>
      </c>
      <c r="E5" s="10">
        <f>Assumptions!B6</f>
        <v>-0.11101948515436078</v>
      </c>
      <c r="F5" s="10">
        <f>Assumptions!B6</f>
        <v>-0.11101948515436078</v>
      </c>
    </row>
    <row r="6" spans="1:6" x14ac:dyDescent="0.25">
      <c r="A6" t="s">
        <v>43</v>
      </c>
      <c r="B6" s="18">
        <f>Assumptions!B29*(1+B5)</f>
        <v>4571789430.0536585</v>
      </c>
      <c r="C6" s="18">
        <f>B6*(1+C5)</f>
        <v>4064231721.294953</v>
      </c>
      <c r="D6" s="18">
        <f>C6*(1+D5)</f>
        <v>3613022808.0487657</v>
      </c>
      <c r="E6" s="18">
        <f>D6*(1+E5)</f>
        <v>3211906876.0482287</v>
      </c>
      <c r="F6" s="18">
        <f>E6*(1+F5)</f>
        <v>2855322628.305603</v>
      </c>
    </row>
    <row r="7" spans="1:6" x14ac:dyDescent="0.25">
      <c r="A7" t="s">
        <v>5</v>
      </c>
      <c r="B7" s="10">
        <f>Assumptions!B7</f>
        <v>0.06300327925736218</v>
      </c>
      <c r="C7" s="10">
        <f>Assumptions!B7</f>
        <v>0.06300327925736218</v>
      </c>
      <c r="D7" s="10">
        <f>Assumptions!B7</f>
        <v>0.06300327925736218</v>
      </c>
      <c r="E7" s="10">
        <f>Assumptions!B7</f>
        <v>0.06300327925736218</v>
      </c>
      <c r="F7" s="10">
        <f>Assumptions!B7</f>
        <v>0.06300327925736218</v>
      </c>
    </row>
    <row r="8" spans="1:6" x14ac:dyDescent="0.25">
      <c r="A8" t="s">
        <v>44</v>
      </c>
      <c r="B8" s="18">
        <f>B6*B7</f>
        <v>288037726.1675273</v>
      </c>
      <c r="C8" s="18">
        <f>C6*C7</f>
        <v>256059926.1033757</v>
      </c>
      <c r="D8" s="18">
        <f>D6*D7</f>
        <v>227632284.93871525</v>
      </c>
      <c r="E8" s="18">
        <f>E6*E7</f>
        <v>202360665.86030835</v>
      </c>
      <c r="F8" s="18">
        <f>F6*F7</f>
        <v>179894688.92100328</v>
      </c>
    </row>
    <row r="9" spans="1:6" x14ac:dyDescent="0.25">
      <c r="A9" t="s">
        <v>45</v>
      </c>
      <c r="B9" s="18">
        <f>B8*(1-Assumptions!B8)</f>
        <v>227549803.6723466</v>
      </c>
      <c r="C9" s="18">
        <f>C8*(1-Assumptions!B8)</f>
        <v>202287341.62166682</v>
      </c>
      <c r="D9" s="18">
        <f>D8*(1-Assumptions!B8)</f>
        <v>179829505.10158506</v>
      </c>
      <c r="E9" s="18">
        <f>E8*(1-Assumptions!B8)</f>
        <v>159864926.0296436</v>
      </c>
      <c r="F9" s="18">
        <f>F8*(1-Assumptions!B8)</f>
        <v>142116804.2475926</v>
      </c>
    </row>
    <row r="10" spans="1:6" x14ac:dyDescent="0.25">
      <c r="A10" t="s">
        <v>46</v>
      </c>
      <c r="B10" s="18">
        <f>B6*Assumptions!B9</f>
        <v>369567008.9414514</v>
      </c>
      <c r="C10" s="18">
        <f>C6*Assumptions!B9</f>
        <v>328537869.8787344</v>
      </c>
      <c r="D10" s="18">
        <f>D6*Assumptions!B9</f>
        <v>292063764.7110869</v>
      </c>
      <c r="E10" s="18">
        <f>E6*Assumptions!B9</f>
        <v>259638995.9206177</v>
      </c>
      <c r="F10" s="18">
        <f>F6*Assumptions!B9</f>
        <v>230814008.26751554</v>
      </c>
    </row>
    <row r="11" spans="1:6" x14ac:dyDescent="0.25">
      <c r="A11" t="s">
        <v>47</v>
      </c>
      <c r="B11" s="18">
        <f>-B6*Assumptions!B10</f>
        <v>-941308073.488975</v>
      </c>
      <c r="C11" s="18">
        <f>-C6*Assumptions!B10</f>
        <v>-836804535.7985859</v>
      </c>
      <c r="D11" s="18">
        <f>-D6*Assumptions!B10</f>
        <v>-743902927.059393</v>
      </c>
      <c r="E11" s="18">
        <f>-E6*Assumptions!B10</f>
        <v>-661315207.0924371</v>
      </c>
      <c r="F11" s="18">
        <f>-F6*Assumptions!B10</f>
        <v>-587896333.2762853</v>
      </c>
    </row>
    <row r="12" spans="1:6" x14ac:dyDescent="0.25">
      <c r="A12" t="s">
        <v>48</v>
      </c>
      <c r="B12" s="18">
        <f>-(B6-Assumptions!B29)*Assumptions!B11</f>
        <v>250353309.32183254</v>
      </c>
      <c r="C12" s="18">
        <f>-(C6-B6)*Assumptions!B11</f>
        <v>222559213.8142321</v>
      </c>
      <c r="D12" s="18">
        <f>-(D6-C6)*Assumptions!B11</f>
        <v>197850804.4802168</v>
      </c>
      <c r="E12" s="18">
        <f>-(E6-D6)*Assumptions!B11</f>
        <v>175885510.02944708</v>
      </c>
      <c r="F12" s="18">
        <f>-(F6-E6)*Assumptions!B11</f>
        <v>156358791.2598657</v>
      </c>
    </row>
    <row r="13" spans="1:6" x14ac:dyDescent="0.25">
      <c r="A13" s="19" t="s">
        <v>49</v>
      </c>
      <c r="B13" s="20">
        <f>B9+B10+B11+B12</f>
        <v>-93837951.5533446</v>
      </c>
      <c r="C13" s="20">
        <f>C9+C10+C11+C12</f>
        <v>-83420110.48395252</v>
      </c>
      <c r="D13" s="20">
        <f>D9+D10+D11+D12</f>
        <v>-74158852.76650423</v>
      </c>
      <c r="E13" s="20">
        <f>E9+E10+E11+E12</f>
        <v>-65925775.112728775</v>
      </c>
      <c r="F13" s="20">
        <f>F9+F10+F11+F12</f>
        <v>-58606729.50131148</v>
      </c>
    </row>
    <row r="14" spans="1:6" x14ac:dyDescent="0.25">
      <c r="A14" t="s">
        <v>50</v>
      </c>
      <c r="B14" s="21">
        <f>1/(1+Assumptions!$B$26)^(1-0.5*Assumptions!$B$32)</f>
        <v>0.9520618903219152</v>
      </c>
      <c r="C14" s="21">
        <f>1/(1+Assumptions!$B$26)^(2-0.5*Assumptions!$B$32)</f>
        <v>0.8629696932788329</v>
      </c>
      <c r="D14" s="21">
        <f>1/(1+Assumptions!$B$26)^(3-0.5*Assumptions!$B$32)</f>
        <v>0.7822145798378255</v>
      </c>
      <c r="E14" s="21">
        <f>1/(1+Assumptions!$B$26)^(4-0.5*Assumptions!$B$32)</f>
        <v>0.709016381080684</v>
      </c>
      <c r="F14" s="21">
        <f>1/(1+Assumptions!$B$26)^(5-0.5*Assumptions!$B$32)</f>
        <v>0.642667934858711</v>
      </c>
    </row>
    <row r="15" spans="1:6" x14ac:dyDescent="0.25">
      <c r="A15" s="19" t="s">
        <v>51</v>
      </c>
      <c r="B15" s="20">
        <f>B13*B14</f>
        <v>-89339537.53981356</v>
      </c>
      <c r="C15" s="20">
        <f>C13*C14</f>
        <v>-71989027.15762286</v>
      </c>
      <c r="D15" s="20">
        <f>D13*D14</f>
        <v>-58008135.85800627</v>
      </c>
      <c r="E15" s="20">
        <f>E13*E14</f>
        <v>-46742454.490365975</v>
      </c>
      <c r="F15" s="20">
        <f>F13*F14</f>
        <v>-37664665.81743094</v>
      </c>
    </row>
    <row r="17" spans="1:2" x14ac:dyDescent="0.25">
      <c r="A17" s="22" t="s">
        <v>52</v>
      </c>
      <c r="B17" s="23">
        <f>SUM(B15:F15)</f>
        <v>-303743820.86323965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-58606729.50131148</v>
      </c>
    </row>
    <row r="5" spans="1:2" x14ac:dyDescent="0.25">
      <c r="A5" t="s">
        <v>56</v>
      </c>
      <c r="B5" s="18">
        <f>IF(Assumptions!$B$33=0,B4,B4-Forecast!F11-Forecast!F10-Forecast!F12)</f>
        <v>142116804.2475926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0.24215636215075198</v>
      </c>
    </row>
    <row r="7" spans="1:2" x14ac:dyDescent="0.25">
      <c r="A7" t="s">
        <v>58</v>
      </c>
      <c r="B7" s="18">
        <f>-MAX(Forecast!F9,0)*B6</f>
        <v>-34414488.31708756</v>
      </c>
    </row>
    <row r="8" spans="1:2" x14ac:dyDescent="0.25">
      <c r="A8" t="s">
        <v>59</v>
      </c>
      <c r="B8" s="18">
        <f>IF(OR(Assumptions!$B$33=0,Assumptions!B12&lt;=0),B5,MAX(B5+B7,0))</f>
        <v>107702315.93050504</v>
      </c>
    </row>
    <row r="9" spans="1:2" x14ac:dyDescent="0.25">
      <c r="A9" t="s">
        <v>60</v>
      </c>
      <c r="B9" s="18">
        <f>B8*(1+Assumptions!B12)/(Assumptions!B26-Assumptions!B12)</f>
        <v>1410994021.0005898</v>
      </c>
    </row>
    <row r="10" spans="1:2" x14ac:dyDescent="0.25">
      <c r="A10" t="s">
        <v>61</v>
      </c>
      <c r="B10" s="18">
        <f>B9/(1+Assumptions!B26)^(5-0.5*Assumptions!B32)</f>
        <v>906800613.5744377</v>
      </c>
    </row>
    <row r="11" spans="1:2" x14ac:dyDescent="0.25">
      <c r="A11" t="s">
        <v>62</v>
      </c>
      <c r="B11" s="18">
        <f>Forecast!B17+B10</f>
        <v>603056792.7111981</v>
      </c>
    </row>
    <row r="12" spans="1:2" x14ac:dyDescent="0.25">
      <c r="A12" t="s">
        <v>63</v>
      </c>
      <c r="B12" s="18">
        <f>-Assumptions!B30</f>
        <v>-1678650000</v>
      </c>
    </row>
    <row r="13" spans="1:2" x14ac:dyDescent="0.25">
      <c r="A13" t="s">
        <v>64</v>
      </c>
      <c r="B13" s="18">
        <f>B11+B12</f>
        <v>-1075593207.288802</v>
      </c>
    </row>
    <row r="14" spans="1:2" x14ac:dyDescent="0.25">
      <c r="A14" s="19" t="s">
        <v>65</v>
      </c>
      <c r="B14" s="24">
        <f>B13/Assumptions!B31</f>
        <v>-9.141225925421555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410708697.1885188</v>
      </c>
    </row>
    <row r="18" spans="1:2" x14ac:dyDescent="0.25">
      <c r="A18" t="s">
        <v>60</v>
      </c>
      <c r="B18" s="18">
        <f>B17*Assumptions!B13</f>
        <v>8214173943.770376</v>
      </c>
    </row>
    <row r="19" spans="1:2" x14ac:dyDescent="0.25">
      <c r="A19" t="s">
        <v>61</v>
      </c>
      <c r="B19" s="18">
        <f>B18/(1+Assumptions!B26)^(5-0.5*Assumptions!B32)</f>
        <v>5278986205.013142</v>
      </c>
    </row>
    <row r="20" spans="1:2" x14ac:dyDescent="0.25">
      <c r="A20" t="s">
        <v>62</v>
      </c>
      <c r="B20" s="18">
        <f>Forecast!B17+B19</f>
        <v>4975242384.149902</v>
      </c>
    </row>
    <row r="21" spans="1:2" x14ac:dyDescent="0.25">
      <c r="A21" t="s">
        <v>63</v>
      </c>
      <c r="B21" s="18">
        <f>-Assumptions!B30</f>
        <v>-1678650000</v>
      </c>
    </row>
    <row r="22" spans="1:2" x14ac:dyDescent="0.25">
      <c r="A22" t="s">
        <v>64</v>
      </c>
      <c r="B22" s="18">
        <f>B20+B21</f>
        <v>3296592384.1499023</v>
      </c>
    </row>
    <row r="23" spans="1:2" x14ac:dyDescent="0.25">
      <c r="A23" s="19" t="s">
        <v>65</v>
      </c>
      <c r="B23" s="25">
        <f>B22/Assumptions!B31</f>
        <v>28.0170008171565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110.91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-9.141225925421555</v>
      </c>
    </row>
    <row r="29" spans="1:2" x14ac:dyDescent="0.25">
      <c r="A29" s="19" t="s">
        <v>73</v>
      </c>
      <c r="B29" s="12">
        <f>B28/B26-1</f>
        <v>-1.082420213915982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0.083239</v>
      </c>
      <c r="B5" s="31">
        <v>-6.671366482225218</v>
      </c>
      <c r="C5" s="31">
        <v>-6.620739075649885</v>
      </c>
      <c r="D5" s="31">
        <v>-6.570111669074555</v>
      </c>
      <c r="E5" s="31">
        <v>-6.519484262499222</v>
      </c>
      <c r="F5" s="31">
        <v>-6.468856855923891</v>
      </c>
    </row>
    <row r="6" spans="1:6" x14ac:dyDescent="0.25">
      <c r="A6" s="30">
        <v>0.093239</v>
      </c>
      <c r="B6" s="31">
        <v>-8.093967755049649</v>
      </c>
      <c r="C6" s="31">
        <v>-8.05060107267897</v>
      </c>
      <c r="D6" s="31">
        <v>-8.007234390308293</v>
      </c>
      <c r="E6" s="31">
        <v>-7.963867707937613</v>
      </c>
      <c r="F6" s="31">
        <v>-7.920501025566936</v>
      </c>
    </row>
    <row r="7" spans="1:6" x14ac:dyDescent="0.25">
      <c r="A7" s="30">
        <v>0.103239</v>
      </c>
      <c r="B7" s="31">
        <v>-9.216405201373993</v>
      </c>
      <c r="C7" s="31">
        <v>-9.178811523723175</v>
      </c>
      <c r="D7" s="32">
        <v>-9.141217846072356</v>
      </c>
      <c r="E7" s="31">
        <v>-9.103624168421538</v>
      </c>
      <c r="F7" s="31">
        <v>-9.06603049077072</v>
      </c>
    </row>
    <row r="8" spans="1:6" x14ac:dyDescent="0.25">
      <c r="A8" s="30">
        <v>0.113239</v>
      </c>
      <c r="B8" s="31">
        <v>-10.11946335724014</v>
      </c>
      <c r="C8" s="31">
        <v>-10.086553352314159</v>
      </c>
      <c r="D8" s="31">
        <v>-10.053643347388185</v>
      </c>
      <c r="E8" s="31">
        <v>-10.020733342462206</v>
      </c>
      <c r="F8" s="31">
        <v>-9.987823337536227</v>
      </c>
    </row>
    <row r="9" spans="1:6" x14ac:dyDescent="0.25">
      <c r="A9" s="30">
        <v>0.123239</v>
      </c>
      <c r="B9" s="31">
        <v>-10.85763070440112</v>
      </c>
      <c r="C9" s="31">
        <v>-10.828583865259382</v>
      </c>
      <c r="D9" s="31">
        <v>-10.799537026117646</v>
      </c>
      <c r="E9" s="31">
        <v>-10.770490186975909</v>
      </c>
      <c r="F9" s="31">
        <v>-10.741443347834174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5142733000</v>
      </c>
      <c r="C5" s="18">
        <v>5377526000</v>
      </c>
      <c r="D5" s="18">
        <v>9617203000</v>
      </c>
      <c r="E5" s="18">
        <v>7320104000</v>
      </c>
      <c r="F5" s="8" t="s">
        <v>84</v>
      </c>
    </row>
    <row r="6" spans="1:6" x14ac:dyDescent="0.25">
      <c r="A6" t="s">
        <v>44</v>
      </c>
      <c r="B6" s="18">
        <v>67285000</v>
      </c>
      <c r="C6" s="18">
        <v>-642229000</v>
      </c>
      <c r="D6" s="18">
        <v>190182000</v>
      </c>
      <c r="E6" s="18">
        <v>2478461000</v>
      </c>
      <c r="F6" s="8" t="s">
        <v>85</v>
      </c>
    </row>
    <row r="7" spans="1:6" x14ac:dyDescent="0.25">
      <c r="A7" t="s">
        <v>86</v>
      </c>
      <c r="B7" s="18">
        <v>658678000</v>
      </c>
      <c r="C7" s="18">
        <v>588638000</v>
      </c>
      <c r="D7" s="18">
        <v>429944000</v>
      </c>
      <c r="E7" s="18">
        <v>300841000</v>
      </c>
      <c r="F7" s="8" t="s">
        <v>87</v>
      </c>
    </row>
    <row r="8" spans="1:6" x14ac:dyDescent="0.25">
      <c r="A8" t="s">
        <v>88</v>
      </c>
      <c r="B8" s="18">
        <v>589801000</v>
      </c>
      <c r="C8" s="18">
        <v>1680529000</v>
      </c>
      <c r="D8" s="18">
        <v>2154542000</v>
      </c>
      <c r="E8" s="18">
        <v>1261646000</v>
      </c>
      <c r="F8" s="8" t="s">
        <v>89</v>
      </c>
    </row>
    <row r="9" spans="1:6" x14ac:dyDescent="0.25">
      <c r="A9" t="s">
        <v>90</v>
      </c>
      <c r="B9" s="18">
        <v>-694375000</v>
      </c>
      <c r="C9" s="18">
        <v>-736870000</v>
      </c>
      <c r="D9" s="18">
        <v>1007256000</v>
      </c>
      <c r="E9" s="18">
        <v>1414702000</v>
      </c>
      <c r="F9" s="8" t="s">
        <v>91</v>
      </c>
    </row>
    <row r="10" spans="1:6" x14ac:dyDescent="0.25">
      <c r="A10" t="s">
        <v>92</v>
      </c>
      <c r="B10" s="18">
        <v>3296651000</v>
      </c>
      <c r="C10" s="18">
        <v>3615679000</v>
      </c>
      <c r="D10" s="18">
        <v>4280444000</v>
      </c>
      <c r="E10" s="18">
        <v>3316369000</v>
      </c>
      <c r="F10" s="8" t="s">
        <v>93</v>
      </c>
    </row>
    <row r="11" spans="1:6" x14ac:dyDescent="0.25">
      <c r="A11" t="s">
        <v>94</v>
      </c>
      <c r="B11" s="18">
        <v>1618001000</v>
      </c>
      <c r="C11" s="18">
        <v>1192230000</v>
      </c>
      <c r="D11" s="18">
        <v>889900000</v>
      </c>
      <c r="E11" s="18">
        <v>1499142000</v>
      </c>
      <c r="F11" s="8" t="s">
        <v>95</v>
      </c>
    </row>
    <row r="12" spans="1:6" x14ac:dyDescent="0.25">
      <c r="A12" t="s">
        <v>32</v>
      </c>
      <c r="B12" s="34">
        <v>117664000</v>
      </c>
      <c r="C12" s="34">
        <v>117516000</v>
      </c>
      <c r="D12" s="34">
        <v>117766000</v>
      </c>
      <c r="E12" s="34">
        <v>117793000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2026-09-19T00:06:31Z</dcterms:modified>
</cp:coreProperties>
</file>