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<sst xmlns="http://schemas.openxmlformats.org/spreadsheetml/2006/main" count="121" uniqueCount="108">
  <si>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Albemarle Corporation (ALB)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</si>
  <si>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</si>
  <si>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</si>
  <si>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</si>
  <si>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</si>
  <si>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</si>
  <si>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</si>
  <si>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</si>
  <si>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</si>
  <si>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</si>
  <si>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</si>
  <si>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</si>
  <si>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</si>
  <si>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</si>
  <si>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</si>
  <si>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</si>
  <si>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</si>
  <si>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</si>
  <si>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</si>
  <si>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</si>
  <si>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</si>
  <si>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</si>
  <si>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</si>
  <si>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</si>
  <si>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C rating at 0.3x interest cover, capped at 200bp because one year's cover is too noisy to charge more. Book interest / average debt was lower, at 6.0%.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</si>
  <si>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</si>
  <si>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</si>
  <si>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</si>
  <si>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</si>
  <si>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</si>
  <si>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</si>
  <si>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</si>
  <si>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</si>
  <si>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</si>
  <si>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</si>
  <si>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</si>
  <si>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</si>
  <si>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</si>
  <si>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</si>
  <si>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</si>
  <si>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</si>
  <si>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</si>
  <si>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</si>
  <si>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</si>
  <si>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</si>
  <si>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</si>
  <si>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</si>
  <si>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</si>
  <si>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</si>
  <si>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</si>
  <si>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</si>
  <si>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</si>
  <si>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</si>
  <si>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</si>
  <si>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</si>
  <si>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</si>
  <si>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</si>
  <si>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</si>
  <si>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</si>
  <si>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</si>
  <si>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</si>
  <si>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</si>
  <si>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</si>
  <si>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</si>
  <si>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</si>
  <si>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</si>
  <si>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</si>
  <si>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</si>
  <si>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</si>
  <si>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</si>
  <si>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</si>
  <si>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</si>
  <si>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</si>
  <si>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</si>
  <si>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</si>
  <si>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</si>
  <si>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</si>
  <si>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</si>
  <si>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</si>
  <si>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</si>
  <si>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</si>
  <si>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</si>
  <si>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</si>
  <si>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</si>
  <si>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</si>
  <si>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</si>
  <si>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</si>
  <si>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</si>
  <si>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</si>
  <si>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</si>
  <si>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</si>
  <si>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</si>
  <si>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</si>
  <si>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</si>
  <si>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</si>
  <si>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</si>
  <si>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</si>
  <si>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</si>
  <si>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</si>
  <si>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</si>
  <si>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</si>
  <si>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</si>
  <si>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</si>
  <si>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</si>
  <si>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</si>
  <si>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</si>
  <si>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20.6% of revenue against depreciation of 8.1%.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</si>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</sst>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0.18040079467473813</v>
      </c>
    </row>
    <row r="7" spans="1:2" x14ac:dyDescent="0.25">
      <c r="A7" t="s">
        <v>4</v>
      </c>
      <c r="B7" s="5">
        <v>0.06300327925736218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0.08083640215623707</v>
      </c>
    </row>
    <row r="10" spans="1:3" x14ac:dyDescent="0.25">
      <c r="A10" t="s">
        <v>7</v>
      </c>
      <c r="B10" s="5">
        <v>0.2058948881812186</v>
      </c>
      <c r="C10" s="6" t="s">
        <v>8</v>
      </c>
    </row>
    <row r="11" spans="1:2" x14ac:dyDescent="0.25">
      <c r="A11" t="s">
        <v>9</v>
      </c>
      <c r="B11" s="5">
        <v>0.1665302518418254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17.032807082454614</v>
      </c>
    </row>
    <row r="14" spans="1:3" x14ac:dyDescent="0.25">
      <c r="A14" t="s">
        <v>12</v>
      </c>
      <c r="B14" s="5">
        <v>0.09032348464728174</v>
      </c>
      <c r="C14" s="6" t="s">
        <v>13</v>
      </c>
    </row>
    <row r="15" spans="1:3" x14ac:dyDescent="0.25">
      <c r="A15" t="s">
        <v>14</v>
      </c>
      <c r="B15" s="5">
        <v>0.08083640215623707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1.2398600000000002</v>
      </c>
      <c r="C19" s="6" t="s">
        <v>21</v>
      </c>
    </row>
    <row r="20" spans="1:2" x14ac:dyDescent="0.25">
      <c r="A20" t="s">
        <v>22</v>
      </c>
      <c r="B20" s="9">
        <f>B17+B19*B18</f>
        <v>0.10138607800000002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10686537728</v>
      </c>
    </row>
    <row r="23" spans="1:2" x14ac:dyDescent="0.25">
      <c r="A23" t="s">
        <v>26</v>
      </c>
      <c r="B23" s="10">
        <v>3296651000</v>
      </c>
    </row>
    <row r="24" spans="1:2" x14ac:dyDescent="0.25">
      <c r="A24" t="s">
        <v>27</v>
      </c>
      <c r="B24" s="9">
        <f>B22/(B22+B23)</f>
        <v>0.7642418289471578</v>
      </c>
    </row>
    <row r="25" spans="1:2" x14ac:dyDescent="0.25">
      <c r="A25" t="s">
        <v>28</v>
      </c>
      <c r="B25" s="9">
        <f>1-B24</f>
        <v>0.23575817105284225</v>
      </c>
    </row>
    <row r="26" spans="1:2" x14ac:dyDescent="0.25">
      <c r="A26" t="s">
        <v>29</v>
      </c>
      <c r="B26" s="11">
        <f>B24*B20+B25*B21*(1-B8)</f>
        <v>0.09032348464728174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5142733000</v>
      </c>
      <c r="C29" s="6" t="s">
        <v>32</v>
      </c>
    </row>
    <row r="30" spans="1:2" x14ac:dyDescent="0.25">
      <c r="A30" t="s">
        <v>33</v>
      </c>
      <c r="B30" s="10">
        <v>1678650000</v>
      </c>
    </row>
    <row r="31" spans="1:2" x14ac:dyDescent="0.25">
      <c r="A31" t="s">
        <v>34</v>
      </c>
      <c r="B31" s="12">
        <v>117664000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0.18040079467473813</v>
      </c>
      <c r="C5" s="5">
        <v>0.014782751863041899</v>
      </c>
      <c r="D5" s="5">
        <v>0.01605990788016166</v>
      </c>
      <c r="E5" s="5">
        <v>0.017337063897281423</v>
      </c>
      <c r="F5" s="5">
        <v>0.018614219914401188</v>
      </c>
      <c r="G5" s="5">
        <v>0.01989137593152095</v>
      </c>
      <c r="H5" s="5">
        <v>0.021168531948640712</v>
      </c>
      <c r="I5" s="5">
        <v>0.022445687965760477</v>
      </c>
      <c r="J5" s="5">
        <v>0.02372284398288024</v>
      </c>
      <c r="K5" s="5">
        <v>0.025</v>
      </c>
    </row>
    <row r="6" spans="1:11" x14ac:dyDescent="0.25">
      <c r="A6" t="s">
        <v>50</v>
      </c>
      <c r="B6" s="18">
        <f>Assumptions!B29*(1+B5)</f>
        <v>6070486120</v>
      </c>
      <c r="C6" s="18">
        <f>B6*(1+C5)</f>
        <v>6160224610</v>
      </c>
      <c r="D6" s="18">
        <f>C6*(1+D5)</f>
        <v>6259157249.757706</v>
      </c>
      <c r="E6" s="18">
        <f>D6*(1+E5)</f>
        <v>6367672658.939887</v>
      </c>
      <c r="F6" s="18">
        <f>E6*(1+F5)</f>
        <v>6486201918.156314</v>
      </c>
      <c r="G6" s="18">
        <f>F6*(1+G5)</f>
        <v>6615221398.878113</v>
      </c>
      <c r="H6" s="18">
        <f>G6*(1+H5)</f>
        <v>6755255924.407597</v>
      </c>
      <c r="I6" s="18">
        <f>H6*(1+I5)</f>
        <v>6906882291.015704</v>
      </c>
      <c r="J6" s="18">
        <f>I6*(1+J5)</f>
        <v>7070733182.013588</v>
      </c>
      <c r="K6" s="18">
        <f>J6*(1+K5)</f>
        <v>7247501511.563927</v>
      </c>
    </row>
    <row r="7" spans="1:11" x14ac:dyDescent="0.25">
      <c r="A7" t="s">
        <v>4</v>
      </c>
      <c r="B7" s="9">
        <f>Assumptions!B7</f>
        <v>0.06300327925736218</v>
      </c>
      <c r="C7" s="9">
        <f>Assumptions!B7</f>
        <v>0.06300327925736218</v>
      </c>
      <c r="D7" s="9">
        <f>Assumptions!B7</f>
        <v>0.06300327925736218</v>
      </c>
      <c r="E7" s="9">
        <f>Assumptions!B7</f>
        <v>0.06300327925736218</v>
      </c>
      <c r="F7" s="9">
        <f>Assumptions!B7</f>
        <v>0.06300327925736218</v>
      </c>
      <c r="G7" s="9">
        <f>Assumptions!B7</f>
        <v>0.06300327925736218</v>
      </c>
      <c r="H7" s="9">
        <f>Assumptions!B7</f>
        <v>0.06300327925736218</v>
      </c>
      <c r="I7" s="9">
        <f>Assumptions!B7</f>
        <v>0.06300327925736218</v>
      </c>
      <c r="J7" s="9">
        <f>Assumptions!B7</f>
        <v>0.06300327925736218</v>
      </c>
      <c r="K7" s="9">
        <f>Assumptions!B7</f>
        <v>0.06300327925736218</v>
      </c>
    </row>
    <row r="8" spans="1:11" x14ac:dyDescent="0.25">
      <c r="A8" t="s">
        <v>51</v>
      </c>
      <c r="B8" s="18">
        <f>B6*B7</f>
        <v>382460532.24630105</v>
      </c>
      <c r="C8" s="18">
        <f>C6*C7</f>
        <v>388114351.39190507</v>
      </c>
      <c r="D8" s="18">
        <f>D6*D7</f>
        <v>394347432.1222278</v>
      </c>
      <c r="E8" s="18">
        <f>E6*E7</f>
        <v>401184258.7506597</v>
      </c>
      <c r="F8" s="18">
        <f>F6*F7</f>
        <v>408651990.7692405</v>
      </c>
      <c r="G8" s="18">
        <f>G6*G7</f>
        <v>416780641.14279586</v>
      </c>
      <c r="H8" s="18">
        <f>H6*H7</f>
        <v>425603275.46040213</v>
      </c>
      <c r="I8" s="18">
        <f>I6*I7</f>
        <v>435156233.77859193</v>
      </c>
      <c r="J8" s="18">
        <f>J6*J7</f>
        <v>445479377.2206992</v>
      </c>
      <c r="K8" s="18">
        <f>K6*K7</f>
        <v>456616361.6512166</v>
      </c>
    </row>
    <row r="9" spans="1:11" x14ac:dyDescent="0.25">
      <c r="A9" t="s">
        <v>52</v>
      </c>
      <c r="B9" s="18">
        <f>B8*(1-Assumptions!B8)</f>
        <v>302143820.47457784</v>
      </c>
      <c r="C9" s="18">
        <f>C8*(1-Assumptions!B8)</f>
        <v>306610337.599605</v>
      </c>
      <c r="D9" s="18">
        <f>D8*(1-Assumptions!B8)</f>
        <v>311534471.37656</v>
      </c>
      <c r="E9" s="18">
        <f>E8*(1-Assumptions!B8)</f>
        <v>316935564.4130212</v>
      </c>
      <c r="F9" s="18">
        <f>F8*(1-Assumptions!B8)</f>
        <v>322835072.7077</v>
      </c>
      <c r="G9" s="18">
        <f>G8*(1-Assumptions!B8)</f>
        <v>329256706.50280875</v>
      </c>
      <c r="H9" s="18">
        <f>H8*(1-Assumptions!B8)</f>
        <v>336226587.6137177</v>
      </c>
      <c r="I9" s="18">
        <f>I8*(1-Assumptions!B8)</f>
        <v>343773424.6850876</v>
      </c>
      <c r="J9" s="18">
        <f>J8*(1-Assumptions!B8)</f>
        <v>351928708.0043524</v>
      </c>
      <c r="K9" s="18">
        <f>K8*(1-Assumptions!B8)</f>
        <v>360726925.70446116</v>
      </c>
    </row>
    <row r="10" spans="1:11" x14ac:dyDescent="0.25">
      <c r="A10" t="s">
        <v>53</v>
      </c>
      <c r="B10" s="18">
        <f>B6*Assumptions!B9</f>
        <v>490716257.2801752</v>
      </c>
      <c r="C10" s="18">
        <f>C6*Assumptions!B9</f>
        <v>497970393.9467086</v>
      </c>
      <c r="D10" s="18">
        <f>D6*Assumptions!B9</f>
        <v>505967752.60054064</v>
      </c>
      <c r="E10" s="18">
        <f>E6*Assumptions!B9</f>
        <v>514739747.8573401</v>
      </c>
      <c r="F10" s="18">
        <f>F6*Assumptions!B9</f>
        <v>524321226.72264004</v>
      </c>
      <c r="G10" s="18">
        <f>G6*Assumptions!B9</f>
        <v>534750697.35225624</v>
      </c>
      <c r="H10" s="18">
        <f>H6*Assumptions!B9</f>
        <v>546070584.5737154</v>
      </c>
      <c r="I10" s="18">
        <f>I6*Assumptions!B9</f>
        <v>558327514.5223374</v>
      </c>
      <c r="J10" s="18">
        <f>J6*Assumptions!B9</f>
        <v>571572631.0407002</v>
      </c>
      <c r="K10" s="18">
        <f>K6*Assumptions!B9</f>
        <v>585861946.8167176</v>
      </c>
    </row>
    <row r="11" spans="1:11" x14ac:dyDescent="0.25">
      <c r="A11" t="s">
        <v>54</v>
      </c>
      <c r="B11" s="18">
        <f>-B6*B19</f>
        <v>-1249882060.8830395</v>
      </c>
      <c r="C11" s="18">
        <f>-C6*C19</f>
        <v>-1192189440.4276893</v>
      </c>
      <c r="D11" s="18">
        <f>-D6*D19</f>
        <v>-1133943303.985793</v>
      </c>
      <c r="E11" s="18">
        <f>-E6*E19</f>
        <v>-1074868202.2108183</v>
      </c>
      <c r="F11" s="18">
        <f>-F6*F19</f>
        <v>-1014676107.5211567</v>
      </c>
      <c r="G11" s="18">
        <f>-G6*G19</f>
        <v>-953064196.7267369</v>
      </c>
      <c r="H11" s="18">
        <f>-H6*H19</f>
        <v>-889712467.3108199</v>
      </c>
      <c r="I11" s="18">
        <f>-I6*I19</f>
        <v>-824281162.1882933</v>
      </c>
      <c r="J11" s="18">
        <f>-J6*J19</f>
        <v>-756407975.2721982</v>
      </c>
      <c r="K11" s="18">
        <f>-K6*K19</f>
        <v>-685705007.32117</v>
      </c>
    </row>
    <row r="12" spans="1:11" x14ac:dyDescent="0.25">
      <c r="A12" t="s">
        <v>55</v>
      </c>
      <c r="B12" s="18">
        <f>-(B6-Assumptions!B29)*Assumptions!B11</f>
        <v>-154498960.72063926</v>
      </c>
      <c r="C12" s="18">
        <f>-(C6-B6)*Assumptions!B11</f>
        <v>-14944173.33960513</v>
      </c>
      <c r="D12" s="18">
        <f>-(D6-C6)*Assumptions!B11</f>
        <v>-16475277.414227316</v>
      </c>
      <c r="E12" s="18">
        <f>-(E6-D6)*Assumptions!B11</f>
        <v>-18071098.419827394</v>
      </c>
      <c r="F12" s="18">
        <f>-(F6-E6)*Assumptions!B11</f>
        <v>-19738707.38793657</v>
      </c>
      <c r="G12" s="18">
        <f>-(G6-F6)*Assumptions!B11</f>
        <v>-21485646.61710271</v>
      </c>
      <c r="H12" s="18">
        <f>-(H6-G6)*Assumptions!B11</f>
        <v>-23319984.802975465</v>
      </c>
      <c r="I12" s="18">
        <f>-(I6-H6)*Assumptions!B11</f>
        <v>-25250377.0171091</v>
      </c>
      <c r="J12" s="18">
        <f>-(J6-I6)*Assumptions!B11</f>
        <v>-27286130.142385073</v>
      </c>
      <c r="K12" s="18">
        <f>-(K6-J6)*Assumptions!B11</f>
        <v>-29437274.437676698</v>
      </c>
    </row>
    <row r="13" spans="1:11" x14ac:dyDescent="0.25">
      <c r="A13" s="19" t="s">
        <v>56</v>
      </c>
      <c r="B13" s="20">
        <f>B9+B10+B11+B12</f>
        <v>-611520943.8489256</v>
      </c>
      <c r="C13" s="20">
        <f>C9+C10+C11+C12</f>
        <v>-402552882.2209808</v>
      </c>
      <c r="D13" s="20">
        <f>D9+D10+D11+D12</f>
        <v>-332916357.4229198</v>
      </c>
      <c r="E13" s="20">
        <f>E9+E10+E11+E12</f>
        <v>-261263988.3602844</v>
      </c>
      <c r="F13" s="20">
        <f>F9+F10+F11+F12</f>
        <v>-187258515.47875318</v>
      </c>
      <c r="G13" s="20">
        <f>G9+G10+G11+G12</f>
        <v>-110542439.48877463</v>
      </c>
      <c r="H13" s="20">
        <f>H9+H10+H11+H12</f>
        <v>-30735279.926362205</v>
      </c>
      <c r="I13" s="20">
        <f>I9+I10+I11+I12</f>
        <v>52569400.00202268</v>
      </c>
      <c r="J13" s="20">
        <f>J9+J10+J11+J12</f>
        <v>139807233.63046926</v>
      </c>
      <c r="K13" s="20">
        <f>K9+K10+K11+K12</f>
        <v>231446590.76233205</v>
      </c>
    </row>
    <row r="14" spans="1:11" x14ac:dyDescent="0.25">
      <c r="A14" t="s">
        <v>57</v>
      </c>
      <c r="B14" s="21">
        <f>1/(1+Assumptions!$B$26)^(1-0.5*Assumptions!$B$32)</f>
        <v>0.9576841874458927</v>
      </c>
      <c r="C14" s="21">
        <f>1/(1+Assumptions!$B$26)^(2-0.5*Assumptions!$B$32)</f>
        <v>0.8783486744355528</v>
      </c>
      <c r="D14" s="21">
        <f>1/(1+Assumptions!$B$26)^(3-0.5*Assumptions!$B$32)</f>
        <v>0.8055853944297067</v>
      </c>
      <c r="E14" s="21">
        <f>1/(1+Assumptions!$B$26)^(4-0.5*Assumptions!$B$32)</f>
        <v>0.7388498970929829</v>
      </c>
      <c r="F14" s="21">
        <f>1/(1+Assumptions!$B$26)^(5-0.5*Assumptions!$B$32)</f>
        <v>0.6776428348986722</v>
      </c>
      <c r="G14" s="21">
        <f>1/(1+Assumptions!$B$26)^(6-0.5*Assumptions!$B$32)</f>
        <v>0.6215062267670853</v>
      </c>
      <c r="H14" s="21">
        <f>1/(1+Assumptions!$B$26)^(7-0.5*Assumptions!$B$32)</f>
        <v>0.570020031227835</v>
      </c>
      <c r="I14" s="21">
        <f>1/(1+Assumptions!$B$26)^(8-0.5*Assumptions!$B$32)</f>
        <v>0.5227990034647705</v>
      </c>
      <c r="J14" s="21">
        <f>1/(1+Assumptions!$B$26)^(9-0.5*Assumptions!$B$32)</f>
        <v>0.47948981272644536</v>
      </c>
      <c r="K14" s="21">
        <f>1/(1+Assumptions!$B$26)^(10-0.5*Assumptions!$B$32)</f>
        <v>0.43976839853317445</v>
      </c>
    </row>
    <row r="15" spans="1:11" x14ac:dyDescent="0.25">
      <c r="A15" s="19" t="s">
        <v>58</v>
      </c>
      <c r="B15" s="20">
        <f>B13*B14</f>
        <v>-585643938.2161037</v>
      </c>
      <c r="C15" s="20">
        <f>C13*C14</f>
        <v>-353581790.4890097</v>
      </c>
      <c r="D15" s="20">
        <f>D13*D14</f>
        <v>-268192555.10664406</v>
      </c>
      <c r="E15" s="20">
        <f>E13*E14</f>
        <v>-193034870.91409838</v>
      </c>
      <c r="F15" s="20">
        <f>F13*F14</f>
        <v>-126894391.28793919</v>
      </c>
      <c r="G15" s="20">
        <f>G13*G14</f>
        <v>-68702814.46429718</v>
      </c>
      <c r="H15" s="20">
        <f>H13*H14</f>
        <v>-17519725.223421235</v>
      </c>
      <c r="I15" s="20">
        <f>I13*I14</f>
        <v>27483229.93379836</v>
      </c>
      <c r="J15" s="20">
        <f>J13*J14</f>
        <v>67036144.2712761</v>
      </c>
      <c r="K15" s="20">
        <f>K13*K14</f>
        <v>101782896.56551377</v>
      </c>
    </row>
    <row r="17" spans="1:2" x14ac:dyDescent="0.25">
      <c r="A17" s="22" t="s">
        <v>59</v>
      </c>
      <c r="B17" s="23">
        <f>SUM(B15:K15)</f>
        <v>-1417267814.9309254</v>
      </c>
    </row>
    <row r="19" spans="1:11" x14ac:dyDescent="0.25">
      <c r="A19" t="s">
        <v>7</v>
      </c>
      <c r="B19" s="9">
        <f>Assumptions!$B$10+($B$20-Assumptions!$B$10)*0/9</f>
        <v>0.2058948881812186</v>
      </c>
      <c r="C19" s="9">
        <f>Assumptions!$B$10+($B$20-Assumptions!$B$10)*1/9</f>
        <v>0.19353019019669956</v>
      </c>
      <c r="D19" s="9">
        <f>Assumptions!$B$10+($B$20-Assumptions!$B$10)*2/9</f>
        <v>0.18116549221218056</v>
      </c>
      <c r="E19" s="9">
        <f>Assumptions!$B$10+($B$20-Assumptions!$B$10)*3/9</f>
        <v>0.16880079422766153</v>
      </c>
      <c r="F19" s="9">
        <f>Assumptions!$B$10+($B$20-Assumptions!$B$10)*4/9</f>
        <v>0.1564360962431425</v>
      </c>
      <c r="G19" s="9">
        <f>Assumptions!$B$10+($B$20-Assumptions!$B$10)*5/9</f>
        <v>0.14407139825862347</v>
      </c>
      <c r="H19" s="9">
        <f>Assumptions!$B$10+($B$20-Assumptions!$B$10)*6/9</f>
        <v>0.13170670027410447</v>
      </c>
      <c r="I19" s="9">
        <f>Assumptions!$B$10+($B$20-Assumptions!$B$10)*7/9</f>
        <v>0.11934200228958544</v>
      </c>
      <c r="J19" s="9">
        <f>Assumptions!$B$10+($B$20-Assumptions!$B$10)*8/9</f>
        <v>0.10697730430506643</v>
      </c>
      <c r="K19" s="9">
        <f>Assumptions!$B$10+($B$20-Assumptions!$B$10)*9/9</f>
        <v>0.0946126063205474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0.0946126063205474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231446590.76233205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360726925.70446116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0.27678294407735043</v>
      </c>
    </row>
    <row r="7" spans="1:2" x14ac:dyDescent="0.25">
      <c r="A7" t="s">
        <v>66</v>
      </c>
      <c r="B7" s="18">
        <f>-MAX(B5,0)*B6</f>
        <v>-99843060.50445242</v>
      </c>
    </row>
    <row r="8" spans="1:2" x14ac:dyDescent="0.25">
      <c r="A8" t="s">
        <v>67</v>
      </c>
      <c r="B8" s="18">
        <f>IF(OR(Assumptions!$B$33=0,Assumptions!B12&lt;=0),B5,MAX(B5+B7,0))</f>
        <v>260883865.20000875</v>
      </c>
    </row>
    <row r="9" spans="1:2" x14ac:dyDescent="0.25">
      <c r="A9" t="s">
        <v>68</v>
      </c>
      <c r="B9" s="18">
        <f>B8*(1+Assumptions!B12)/(Assumptions!B26-Assumptions!B12)</f>
        <v>4093565480.6825485</v>
      </c>
    </row>
    <row r="10" spans="1:2" x14ac:dyDescent="0.25">
      <c r="A10" t="s">
        <v>69</v>
      </c>
      <c r="B10" s="18">
        <f>B9/(1+Assumptions!B26)^(10-0.5*Assumptions!B32)</f>
        <v>1800220735.730449</v>
      </c>
    </row>
    <row r="11" spans="1:2" x14ac:dyDescent="0.25">
      <c r="A11" t="s">
        <v>70</v>
      </c>
      <c r="B11" s="18">
        <f>Forecast!B17+B10</f>
        <v>382952920.7995236</v>
      </c>
    </row>
    <row r="12" spans="1:2" x14ac:dyDescent="0.25">
      <c r="A12" t="s">
        <v>71</v>
      </c>
      <c r="B12" s="18">
        <f>-Assumptions!B30</f>
        <v>-1678650000</v>
      </c>
    </row>
    <row r="13" spans="1:2" x14ac:dyDescent="0.25">
      <c r="A13" t="s">
        <v>72</v>
      </c>
      <c r="B13" s="18">
        <f>B11+B12</f>
        <v>-1295697079.2004764</v>
      </c>
    </row>
    <row r="14" spans="1:2" x14ac:dyDescent="0.25">
      <c r="A14" s="19" t="s">
        <v>73</v>
      </c>
      <c r="B14" s="24">
        <f>B13/Assumptions!B31</f>
        <v>-11.011839468320611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1042478308.4679343</v>
      </c>
    </row>
    <row r="18" spans="1:2" x14ac:dyDescent="0.25">
      <c r="A18" t="s">
        <v>68</v>
      </c>
      <c r="B18" s="18">
        <f>B17*Assumptions!B13</f>
        <v>17756331915.777935</v>
      </c>
    </row>
    <row r="19" spans="1:2" x14ac:dyDescent="0.25">
      <c r="A19" t="s">
        <v>69</v>
      </c>
      <c r="B19" s="18">
        <f>B18/(1+Assumptions!B26)^(10-0.5*Assumptions!B32)</f>
        <v>7808673650.425156</v>
      </c>
    </row>
    <row r="20" spans="1:2" x14ac:dyDescent="0.25">
      <c r="A20" t="s">
        <v>70</v>
      </c>
      <c r="B20" s="18">
        <f>Forecast!B17+B19</f>
        <v>6391405835.49423</v>
      </c>
    </row>
    <row r="21" spans="1:2" x14ac:dyDescent="0.25">
      <c r="A21" t="s">
        <v>71</v>
      </c>
      <c r="B21" s="18">
        <f>-Assumptions!B30</f>
        <v>-1678650000</v>
      </c>
    </row>
    <row r="22" spans="1:2" x14ac:dyDescent="0.25">
      <c r="A22" t="s">
        <v>72</v>
      </c>
      <c r="B22" s="18">
        <f>B20+B21</f>
        <v>4712755835.49423</v>
      </c>
    </row>
    <row r="23" spans="1:2" x14ac:dyDescent="0.25">
      <c r="A23" s="19" t="s">
        <v>73</v>
      </c>
      <c r="B23" s="25">
        <f>B22/Assumptions!B31</f>
        <v>40.052657019090205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90.56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-11.011839468320611</v>
      </c>
    </row>
    <row r="29" spans="1:2" x14ac:dyDescent="0.25">
      <c r="A29" s="19" t="s">
        <v>81</v>
      </c>
      <c r="B29" s="11">
        <f>B28/B26-1</f>
        <v>-1.1215971672738583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0.070323</v>
      </c>
      <c r="B5" s="31">
        <v>-2.7568816014987303</v>
      </c>
      <c r="C5" s="31">
        <v>-3.291227482060924</v>
      </c>
      <c r="D5" s="31">
        <v>-3.825573362623114</v>
      </c>
      <c r="E5" s="31">
        <v>-4.359919243185302</v>
      </c>
      <c r="F5" s="31">
        <v>-4.894265123747494</v>
      </c>
    </row>
    <row r="6" spans="1:6" x14ac:dyDescent="0.25">
      <c r="A6" s="30">
        <v>0.080323</v>
      </c>
      <c r="B6" s="31">
        <v>-7.058223550878287</v>
      </c>
      <c r="C6" s="31">
        <v>-7.500831237956322</v>
      </c>
      <c r="D6" s="31">
        <v>-7.9434389250343616</v>
      </c>
      <c r="E6" s="31">
        <v>-8.386046612112402</v>
      </c>
      <c r="F6" s="31">
        <v>-8.828654299190436</v>
      </c>
    </row>
    <row r="7" spans="1:6" x14ac:dyDescent="0.25">
      <c r="A7" s="30">
        <v>0.090323</v>
      </c>
      <c r="B7" s="31">
        <v>-10.266284845918054</v>
      </c>
      <c r="C7" s="31">
        <v>-10.638997620456323</v>
      </c>
      <c r="D7" s="32">
        <v>-11.011710394994594</v>
      </c>
      <c r="E7" s="31">
        <v>-11.384423169532862</v>
      </c>
      <c r="F7" s="31">
        <v>-11.757135944071134</v>
      </c>
    </row>
    <row r="8" spans="1:6" x14ac:dyDescent="0.25">
      <c r="A8" s="30">
        <v>0.100323</v>
      </c>
      <c r="B8" s="31">
        <v>-12.717667097468949</v>
      </c>
      <c r="C8" s="31">
        <v>-13.035686502163195</v>
      </c>
      <c r="D8" s="31">
        <v>-13.353705906857444</v>
      </c>
      <c r="E8" s="31">
        <v>-13.671725311551693</v>
      </c>
      <c r="F8" s="31">
        <v>-13.98974471624594</v>
      </c>
    </row>
    <row r="9" spans="1:6" x14ac:dyDescent="0.25">
      <c r="A9" s="30">
        <v>0.110323</v>
      </c>
      <c r="B9" s="31">
        <v>-14.626149333442338</v>
      </c>
      <c r="C9" s="31">
        <v>-14.900452260433497</v>
      </c>
      <c r="D9" s="31">
        <v>-15.174755187424656</v>
      </c>
      <c r="E9" s="31">
        <v>-15.449058114415815</v>
      </c>
      <c r="F9" s="31">
        <v>-15.72336104140698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5142733000</v>
      </c>
      <c r="C5" s="18">
        <v>5377526000</v>
      </c>
      <c r="D5" s="18">
        <v>9617203000</v>
      </c>
      <c r="E5" s="18">
        <v>7320104000</v>
      </c>
      <c r="F5" s="6" t="s">
        <v>91</v>
      </c>
    </row>
    <row r="6" spans="1:6" x14ac:dyDescent="0.25">
      <c r="A6" t="s">
        <v>51</v>
      </c>
      <c r="B6" s="18">
        <v>67285000</v>
      </c>
      <c r="C6" s="18">
        <v>-642229000</v>
      </c>
      <c r="D6" s="18">
        <v>190182000</v>
      </c>
      <c r="E6" s="18">
        <v>2478461000</v>
      </c>
      <c r="F6" s="6" t="s">
        <v>92</v>
      </c>
    </row>
    <row r="7" spans="1:6" x14ac:dyDescent="0.25">
      <c r="A7" t="s">
        <v>93</v>
      </c>
      <c r="B7" s="18">
        <v>658678000</v>
      </c>
      <c r="C7" s="18">
        <v>588638000</v>
      </c>
      <c r="D7" s="18">
        <v>429944000</v>
      </c>
      <c r="E7" s="18">
        <v>300841000</v>
      </c>
      <c r="F7" s="6" t="s">
        <v>94</v>
      </c>
    </row>
    <row r="8" spans="1:6" x14ac:dyDescent="0.25">
      <c r="A8" t="s">
        <v>95</v>
      </c>
      <c r="B8" s="18">
        <v>589801000</v>
      </c>
      <c r="C8" s="18">
        <v>1680529000</v>
      </c>
      <c r="D8" s="18">
        <v>2154542000</v>
      </c>
      <c r="E8" s="18">
        <v>1261646000</v>
      </c>
      <c r="F8" s="6" t="s">
        <v>96</v>
      </c>
    </row>
    <row r="9" spans="1:6" x14ac:dyDescent="0.25">
      <c r="A9" t="s">
        <v>97</v>
      </c>
      <c r="B9" s="18">
        <v>-694375000</v>
      </c>
      <c r="C9" s="18">
        <v>-736870000</v>
      </c>
      <c r="D9" s="18">
        <v>1007256000</v>
      </c>
      <c r="E9" s="18">
        <v>1414702000</v>
      </c>
      <c r="F9" s="6" t="s">
        <v>98</v>
      </c>
    </row>
    <row r="10" spans="1:6" x14ac:dyDescent="0.25">
      <c r="A10" t="s">
        <v>99</v>
      </c>
      <c r="B10" s="18">
        <v>3296651000</v>
      </c>
      <c r="C10" s="18">
        <v>3615679000</v>
      </c>
      <c r="D10" s="18">
        <v>4280444000</v>
      </c>
      <c r="E10" s="18">
        <v>3316369000</v>
      </c>
      <c r="F10" s="6" t="s">
        <v>100</v>
      </c>
    </row>
    <row r="11" spans="1:6" x14ac:dyDescent="0.25">
      <c r="A11" t="s">
        <v>101</v>
      </c>
      <c r="B11" s="18">
        <v>1618001000</v>
      </c>
      <c r="C11" s="18">
        <v>1192230000</v>
      </c>
      <c r="D11" s="18">
        <v>889900000</v>
      </c>
      <c r="E11" s="18">
        <v>1499142000</v>
      </c>
      <c r="F11" s="6" t="s">
        <v>102</v>
      </c>
    </row>
    <row r="12" spans="1:6" x14ac:dyDescent="0.25">
      <c r="A12" t="s">
        <v>34</v>
      </c>
      <c r="B12" s="34">
        <v>117664000</v>
      </c>
      <c r="C12" s="34">
        <v>117516000</v>
      </c>
      <c r="D12" s="34">
        <v>117766000</v>
      </c>
      <c r="E12" s="34">
        <v>117793000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