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<sst xmlns="http://schemas.openxmlformats.org/spreadsheetml/2006/main" count="115" uniqueCount="102">
  <si>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Alcon Inc. (ALC.SW)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</si>
  <si>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</si>
  <si>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</si>
  <si>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</si>
  <si>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</si>
  <si>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</si>
  <si>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</si>
  <si>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</si>
  <si>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</si>
  <si>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</si>
  <si>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</si>
  <si>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</si>
  <si>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</si>
  <si>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</si>
  <si>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</si>
  <si>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</si>
  <si>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</si>
  <si>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</si>
  <si>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</si>
  <si>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</si>
  <si>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</si>
  <si>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</si>
  <si>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40.6%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</si>
  <si>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</si>
  <si>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</si>
  <si>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</si>
  <si>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</si>
  <si>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</si>
  <si>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</si>
  <si>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</si>
  <si>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</si>
  <si>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</si>
  <si>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</si>
  <si>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</si>
  <si>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</si>
  <si>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</si>
  <si>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</si>
  <si>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</si>
  <si>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</si>
  <si>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</si>
  <si>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</si>
  <si>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</si>
  <si>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</si>
  <si>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</si>
  <si>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</si>
  <si>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</si>
  <si>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</si>
  <si>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</si>
  <si>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</si>
  <si>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</si>
  <si>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</si>
  <si>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</si>
  <si>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</si>
  <si>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</si>
  <si>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</si>
  <si>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</si>
  <si>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</si>
  <si>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</si>
  <si>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</si>
  <si>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</si>
  <si>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</si>
  <si>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</si>
  <si>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</si>
  <si>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</si>
  <si>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</si>
  <si>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</si>
  <si>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</si>
  <si>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</si>
  <si>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</si>
  <si>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</si>
  <si>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</si>
  <si>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</si>
  <si>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</si>
  <si>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</si>
  <si>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</si>
  <si>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</si>
  <si>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</si>
  <si>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</si>
  <si>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</si>
  <si>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</si>
  <si>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</si>
  <si>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</si>
  <si>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</si>
  <si>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</si>
  <si>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</si>
  <si>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</si>
  <si>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</si>
  <si>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</si>
  <si>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</si>
  <si>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</si>
  <si>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</si>
  <si>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</si>
  <si>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</si>
  <si>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</si>
  <si>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</si>
  <si>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</si>
  <si>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derived</t>
  </si>
  <si>
    <t>dilutedAverageShares</t>
  </si>
  <si>
    <t>Model notes</t>
  </si>
  <si>
    <t>Adjusted: Reports in USD, trades in CHF. Modelled in USD, converted at the end.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</si>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</sst>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0.060643293224687644</v>
      </c>
    </row>
    <row r="7" spans="1:2" x14ac:dyDescent="0.25">
      <c r="A7" t="s">
        <v>5</v>
      </c>
      <c r="B7" s="6">
        <v>0.11507630269196491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0.12755563125041086</v>
      </c>
    </row>
    <row r="10" spans="1:2" x14ac:dyDescent="0.25">
      <c r="A10" t="s">
        <v>8</v>
      </c>
      <c r="B10" s="6">
        <v>0.07670399917295467</v>
      </c>
    </row>
    <row r="11" spans="1:2" x14ac:dyDescent="0.25">
      <c r="A11" t="s">
        <v>9</v>
      </c>
      <c r="B11" s="6">
        <v>0.4897959183673469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9.813819297959183</v>
      </c>
    </row>
    <row r="14" spans="1:3" x14ac:dyDescent="0.25">
      <c r="A14" t="s">
        <v>12</v>
      </c>
      <c r="B14" s="6">
        <v>0.048339724360145685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0.79766</v>
      </c>
      <c r="C19" s="8" t="s">
        <v>19</v>
      </c>
    </row>
    <row r="20" spans="1:2" x14ac:dyDescent="0.25">
      <c r="A20" t="s">
        <v>20</v>
      </c>
      <c r="B20" s="10">
        <f>B17+B19*B18</f>
        <v>0.0488713</v>
      </c>
    </row>
    <row r="21" spans="1:3" x14ac:dyDescent="0.25">
      <c r="A21" t="s">
        <v>21</v>
      </c>
      <c r="B21" s="6">
        <v>0.025</v>
      </c>
      <c r="C21" s="8" t="s">
        <v>22</v>
      </c>
    </row>
    <row r="22" spans="1:2" x14ac:dyDescent="0.25">
      <c r="A22" t="s">
        <v>23</v>
      </c>
      <c r="B22" s="11">
        <v>25939243008</v>
      </c>
    </row>
    <row r="23" spans="1:2" x14ac:dyDescent="0.25">
      <c r="A23" t="s">
        <v>24</v>
      </c>
      <c r="B23" s="11">
        <v>509000000</v>
      </c>
    </row>
    <row r="24" spans="1:2" x14ac:dyDescent="0.25">
      <c r="A24" t="s">
        <v>25</v>
      </c>
      <c r="B24" s="10">
        <f>B22/(B22+B23)</f>
        <v>0.9807548652722966</v>
      </c>
    </row>
    <row r="25" spans="1:2" x14ac:dyDescent="0.25">
      <c r="A25" t="s">
        <v>26</v>
      </c>
      <c r="B25" s="10">
        <f>1-B24</f>
        <v>0.019245134727703395</v>
      </c>
    </row>
    <row r="26" spans="1:2" x14ac:dyDescent="0.25">
      <c r="A26" t="s">
        <v>27</v>
      </c>
      <c r="B26" s="12">
        <f>B24*B20+B25*B21*(1-B8)</f>
        <v>0.048339724360145685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10401000000</v>
      </c>
      <c r="C29" s="8" t="s">
        <v>30</v>
      </c>
    </row>
    <row r="30" spans="1:2" x14ac:dyDescent="0.25">
      <c r="A30" t="s">
        <v>31</v>
      </c>
      <c r="B30" s="11">
        <v>509000000</v>
      </c>
    </row>
    <row r="31" spans="1:2" x14ac:dyDescent="0.25">
      <c r="A31" t="s">
        <v>32</v>
      </c>
      <c r="B31" s="13">
        <v>496200000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0.060643293224687644</v>
      </c>
      <c r="C5" s="10">
        <f>Assumptions!B6</f>
        <v>0.060643293224687644</v>
      </c>
      <c r="D5" s="10">
        <f>Assumptions!B6</f>
        <v>0.060643293224687644</v>
      </c>
      <c r="E5" s="10">
        <f>Assumptions!B6</f>
        <v>0.060643293224687644</v>
      </c>
      <c r="F5" s="10">
        <f>Assumptions!B6</f>
        <v>0.060643293224687644</v>
      </c>
    </row>
    <row r="6" spans="1:6" x14ac:dyDescent="0.25">
      <c r="A6" t="s">
        <v>43</v>
      </c>
      <c r="B6" s="18">
        <f>Assumptions!B29*(1+B5)</f>
        <v>11031750892.829977</v>
      </c>
      <c r="C6" s="18">
        <f>B6*(1+C5)</f>
        <v>11700752597.005575</v>
      </c>
      <c r="D6" s="18">
        <f>C6*(1+D5)</f>
        <v>12410324767.69531</v>
      </c>
      <c r="E6" s="18">
        <f>D6*(1+E5)</f>
        <v>13162927731.59626</v>
      </c>
      <c r="F6" s="18">
        <f>E6*(1+F5)</f>
        <v>13961171017.718824</v>
      </c>
    </row>
    <row r="7" spans="1:6" x14ac:dyDescent="0.25">
      <c r="A7" t="s">
        <v>5</v>
      </c>
      <c r="B7" s="10">
        <f>Assumptions!B7</f>
        <v>0.11507630269196491</v>
      </c>
      <c r="C7" s="10">
        <f>Assumptions!B7</f>
        <v>0.11507630269196491</v>
      </c>
      <c r="D7" s="10">
        <f>Assumptions!B7</f>
        <v>0.11507630269196491</v>
      </c>
      <c r="E7" s="10">
        <f>Assumptions!B7</f>
        <v>0.11507630269196491</v>
      </c>
      <c r="F7" s="10">
        <f>Assumptions!B7</f>
        <v>0.11507630269196491</v>
      </c>
    </row>
    <row r="8" spans="1:6" x14ac:dyDescent="0.25">
      <c r="A8" t="s">
        <v>44</v>
      </c>
      <c r="B8" s="18">
        <f>B6*B7</f>
        <v>1269493104.9656565</v>
      </c>
      <c r="C8" s="18">
        <f>C6*C7</f>
        <v>1346479347.576808</v>
      </c>
      <c r="D8" s="18">
        <f>D6*D7</f>
        <v>1428134289.4728947</v>
      </c>
      <c r="E8" s="18">
        <f>E6*E7</f>
        <v>1514741055.9536302</v>
      </c>
      <c r="F8" s="18">
        <f>F6*F7</f>
        <v>1606599941.969299</v>
      </c>
    </row>
    <row r="9" spans="1:6" x14ac:dyDescent="0.25">
      <c r="A9" t="s">
        <v>45</v>
      </c>
      <c r="B9" s="18">
        <f>B8*(1-Assumptions!B8)</f>
        <v>1079069139.220808</v>
      </c>
      <c r="C9" s="18">
        <f>C8*(1-Assumptions!B8)</f>
        <v>1144507445.4402866</v>
      </c>
      <c r="D9" s="18">
        <f>D8*(1-Assumptions!B8)</f>
        <v>1213914146.0519605</v>
      </c>
      <c r="E9" s="18">
        <f>E8*(1-Assumptions!B8)</f>
        <v>1287529897.5605857</v>
      </c>
      <c r="F9" s="18">
        <f>F8*(1-Assumptions!B8)</f>
        <v>1365609950.6739042</v>
      </c>
    </row>
    <row r="10" spans="1:6" x14ac:dyDescent="0.25">
      <c r="A10" t="s">
        <v>46</v>
      </c>
      <c r="B10" s="18">
        <f>B6*Assumptions!B9</f>
        <v>1407161948.9322114</v>
      </c>
      <c r="C10" s="18">
        <f>C6*Assumptions!B9</f>
        <v>1492496883.6159303</v>
      </c>
      <c r="D10" s="18">
        <f>D6*Assumptions!B9</f>
        <v>1583006809.7659838</v>
      </c>
      <c r="E10" s="18">
        <f>E6*Assumptions!B9</f>
        <v>1679005555.9072998</v>
      </c>
      <c r="F10" s="18">
        <f>F6*Assumptions!B9</f>
        <v>1780825982.1600657</v>
      </c>
    </row>
    <row r="11" spans="1:6" x14ac:dyDescent="0.25">
      <c r="A11" t="s">
        <v>47</v>
      </c>
      <c r="B11" s="18">
        <f>-B6*Assumptions!B10</f>
        <v>-846179411.3598726</v>
      </c>
      <c r="C11" s="18">
        <f>-C6*Assumptions!B10</f>
        <v>-897494517.5236629</v>
      </c>
      <c r="D11" s="18">
        <f>-D6*Assumptions!B10</f>
        <v>-951921540.7174</v>
      </c>
      <c r="E11" s="18">
        <f>-E6*Assumptions!B10</f>
        <v>-1009649197.8380216</v>
      </c>
      <c r="F11" s="18">
        <f>-F6*Assumptions!B10</f>
        <v>-1070877650.1965835</v>
      </c>
    </row>
    <row r="12" spans="1:6" x14ac:dyDescent="0.25">
      <c r="A12" t="s">
        <v>48</v>
      </c>
      <c r="B12" s="18">
        <f>-(B6-Assumptions!B29)*Assumptions!B11</f>
        <v>-308939212.8146826</v>
      </c>
      <c r="C12" s="18">
        <f>-(C6-B6)*Assumptions!B11</f>
        <v>-327674304.08600724</v>
      </c>
      <c r="D12" s="18">
        <f>-(D6-C6)*Assumptions!B11</f>
        <v>-347545552.9908908</v>
      </c>
      <c r="E12" s="18">
        <f>-(E6-D6)*Assumptions!B11</f>
        <v>-368621859.8698528</v>
      </c>
      <c r="F12" s="18">
        <f>-(F6-E6)*Assumptions!B11</f>
        <v>-390976303.40697026</v>
      </c>
    </row>
    <row r="13" spans="1:6" x14ac:dyDescent="0.25">
      <c r="A13" s="19" t="s">
        <v>49</v>
      </c>
      <c r="B13" s="20">
        <f>B9+B10+B11+B12</f>
        <v>1331112463.9784641</v>
      </c>
      <c r="C13" s="20">
        <f>C9+C10+C11+C12</f>
        <v>1411835507.446547</v>
      </c>
      <c r="D13" s="20">
        <f>D9+D10+D11+D12</f>
        <v>1497453862.1096537</v>
      </c>
      <c r="E13" s="20">
        <f>E9+E10+E11+E12</f>
        <v>1588264395.760011</v>
      </c>
      <c r="F13" s="20">
        <f>F9+F10+F11+F12</f>
        <v>1684581979.2304163</v>
      </c>
    </row>
    <row r="14" spans="1:6" x14ac:dyDescent="0.25">
      <c r="A14" t="s">
        <v>50</v>
      </c>
      <c r="B14" s="21">
        <f>1/(1+Assumptions!$B$26)^(1-0.5*Assumptions!$B$32)</f>
        <v>0.9766725430159585</v>
      </c>
      <c r="C14" s="21">
        <f>1/(1+Assumptions!$B$26)^(2-0.5*Assumptions!$B$32)</f>
        <v>0.9316374456878193</v>
      </c>
      <c r="D14" s="21">
        <f>1/(1+Assumptions!$B$26)^(3-0.5*Assumptions!$B$32)</f>
        <v>0.8886789501909261</v>
      </c>
      <c r="E14" s="21">
        <f>1/(1+Assumptions!$B$26)^(4-0.5*Assumptions!$B$32)</f>
        <v>0.8477013028704329</v>
      </c>
      <c r="F14" s="21">
        <f>1/(1+Assumptions!$B$26)^(5-0.5*Assumptions!$B$32)</f>
        <v>0.8086131653437318</v>
      </c>
    </row>
    <row r="15" spans="1:6" x14ac:dyDescent="0.25">
      <c r="A15" s="19" t="s">
        <v>51</v>
      </c>
      <c r="B15" s="20">
        <f>B13*B14</f>
        <v>1300060995.234085</v>
      </c>
      <c r="C15" s="20">
        <f>C13*C14</f>
        <v>1315318825.8888671</v>
      </c>
      <c r="D15" s="20">
        <f>D13*D14</f>
        <v>1330755726.1389549</v>
      </c>
      <c r="E15" s="20">
        <f>E13*E14</f>
        <v>1346373797.5884821</v>
      </c>
      <c r="F15" s="20">
        <f>F13*F14</f>
        <v>1362175166.5065157</v>
      </c>
    </row>
    <row r="17" spans="1:2" x14ac:dyDescent="0.25">
      <c r="A17" s="22" t="s">
        <v>52</v>
      </c>
      <c r="B17" s="23">
        <f>SUM(B15:F15)</f>
        <v>6654684511.356905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1684581979.2304163</v>
      </c>
    </row>
    <row r="5" spans="1:2" x14ac:dyDescent="0.25">
      <c r="A5" t="s">
        <v>56</v>
      </c>
      <c r="B5" s="18">
        <f>IF(Assumptions!$B$33=0,B4,B4-Forecast!F11-Forecast!F10-Forecast!F12)</f>
        <v>2304280637.249398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0.5171729944867368</v>
      </c>
    </row>
    <row r="7" spans="1:2" x14ac:dyDescent="0.25">
      <c r="A7" t="s">
        <v>58</v>
      </c>
      <c r="B7" s="18">
        <f>-MAX(Forecast!F9,0)*B6</f>
        <v>-1191711717.3040774</v>
      </c>
    </row>
    <row r="8" spans="1:2" x14ac:dyDescent="0.25">
      <c r="A8" t="s">
        <v>59</v>
      </c>
      <c r="B8" s="18">
        <f>IF(OR(Assumptions!$B$33=0,Assumptions!B12&lt;=0),B5,MAX(B5+B7,0))</f>
        <v>1112568919.9453208</v>
      </c>
    </row>
    <row r="9" spans="1:2" x14ac:dyDescent="0.25">
      <c r="A9" t="s">
        <v>60</v>
      </c>
      <c r="B9" s="18">
        <f>B8*(1+Assumptions!B12)/(Assumptions!B26-Assumptions!B12)</f>
        <v>48860180409.46717</v>
      </c>
    </row>
    <row r="10" spans="1:2" x14ac:dyDescent="0.25">
      <c r="A10" t="s">
        <v>61</v>
      </c>
      <c r="B10" s="18">
        <f>B9/(1+Assumptions!B26)^(5-0.5*Assumptions!B32)</f>
        <v>39508985140.16505</v>
      </c>
    </row>
    <row r="11" spans="1:2" x14ac:dyDescent="0.25">
      <c r="A11" t="s">
        <v>62</v>
      </c>
      <c r="B11" s="18">
        <f>Forecast!B17+B10</f>
        <v>46163669651.52195</v>
      </c>
    </row>
    <row r="12" spans="1:2" x14ac:dyDescent="0.25">
      <c r="A12" t="s">
        <v>63</v>
      </c>
      <c r="B12" s="18">
        <f>-Assumptions!B30</f>
        <v>-509000000</v>
      </c>
    </row>
    <row r="13" spans="1:2" x14ac:dyDescent="0.25">
      <c r="A13" t="s">
        <v>64</v>
      </c>
      <c r="B13" s="18">
        <f>B11+B12</f>
        <v>45654669651.52195</v>
      </c>
    </row>
    <row r="14" spans="1:2" x14ac:dyDescent="0.25">
      <c r="A14" s="19" t="s">
        <v>65</v>
      </c>
      <c r="B14" s="24">
        <f>B13/Assumptions!B31</f>
        <v>92.00860469875444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3387425924.129365</v>
      </c>
    </row>
    <row r="18" spans="1:2" x14ac:dyDescent="0.25">
      <c r="A18" t="s">
        <v>60</v>
      </c>
      <c r="B18" s="18">
        <f>B17*Assumptions!B13</f>
        <v>33243585904.627983</v>
      </c>
    </row>
    <row r="19" spans="1:2" x14ac:dyDescent="0.25">
      <c r="A19" t="s">
        <v>61</v>
      </c>
      <c r="B19" s="18">
        <f>B18/(1+Assumptions!B26)^(5-0.5*Assumptions!B32)</f>
        <v>26881201225.7175</v>
      </c>
    </row>
    <row r="20" spans="1:2" x14ac:dyDescent="0.25">
      <c r="A20" t="s">
        <v>62</v>
      </c>
      <c r="B20" s="18">
        <f>Forecast!B17+B19</f>
        <v>33535885737.0744</v>
      </c>
    </row>
    <row r="21" spans="1:2" x14ac:dyDescent="0.25">
      <c r="A21" t="s">
        <v>63</v>
      </c>
      <c r="B21" s="18">
        <f>-Assumptions!B30</f>
        <v>-509000000</v>
      </c>
    </row>
    <row r="22" spans="1:2" x14ac:dyDescent="0.25">
      <c r="A22" t="s">
        <v>64</v>
      </c>
      <c r="B22" s="18">
        <f>B20+B21</f>
        <v>33026885737.0744</v>
      </c>
    </row>
    <row r="23" spans="1:2" x14ac:dyDescent="0.25">
      <c r="A23" s="19" t="s">
        <v>65</v>
      </c>
      <c r="B23" s="25">
        <f>B22/Assumptions!B31</f>
        <v>66.55962462127046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53.66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75.61359142748339</v>
      </c>
    </row>
    <row r="29" spans="1:2" x14ac:dyDescent="0.25">
      <c r="A29" s="19" t="s">
        <v>73</v>
      </c>
      <c r="B29" s="12">
        <f>B28/B26-1</f>
        <v>0.4091239550406893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0.02834</v>
      </c>
      <c r="B5" s="31">
        <v>208.7967397156973</v>
      </c>
      <c r="C5" s="31">
        <v>265.61838397487173</v>
      </c>
      <c r="D5" s="31">
        <v>491.04521932085476</v>
      </c>
      <c r="E5" s="31" t="s">
        <v>76</v>
      </c>
      <c r="F5" s="31" t="s">
        <v>76</v>
      </c>
    </row>
    <row r="6" spans="1:6" x14ac:dyDescent="0.25">
      <c r="A6" s="30">
        <v>0.03834</v>
      </c>
      <c r="B6" s="31">
        <v>119.82195979896424</v>
      </c>
      <c r="C6" s="31">
        <v>122.67081469857425</v>
      </c>
      <c r="D6" s="31">
        <v>127.29101249635096</v>
      </c>
      <c r="E6" s="31">
        <v>136.86842171417706</v>
      </c>
      <c r="F6" s="31">
        <v>173.66596789119635</v>
      </c>
    </row>
    <row r="7" spans="1:6" x14ac:dyDescent="0.25">
      <c r="A7" s="30">
        <v>0.04834</v>
      </c>
      <c r="B7" s="31">
        <v>91.23124213264691</v>
      </c>
      <c r="C7" s="31">
        <v>91.61964485292674</v>
      </c>
      <c r="D7" s="32">
        <v>92.00804757320655</v>
      </c>
      <c r="E7" s="31">
        <v>92.39645029348635</v>
      </c>
      <c r="F7" s="31">
        <v>92.78485301376618</v>
      </c>
    </row>
    <row r="8" spans="1:6" x14ac:dyDescent="0.25">
      <c r="A8" s="30">
        <v>0.05834</v>
      </c>
      <c r="B8" s="31">
        <v>74.66783355556943</v>
      </c>
      <c r="C8" s="31">
        <v>74.97620115672973</v>
      </c>
      <c r="D8" s="31">
        <v>75.28456875788999</v>
      </c>
      <c r="E8" s="31">
        <v>75.59293635905028</v>
      </c>
      <c r="F8" s="31">
        <v>75.90130396021054</v>
      </c>
    </row>
    <row r="9" spans="1:6" x14ac:dyDescent="0.25">
      <c r="A9" s="30">
        <v>0.06834</v>
      </c>
      <c r="B9" s="31">
        <v>62.98994454298463</v>
      </c>
      <c r="C9" s="31">
        <v>63.24228154495742</v>
      </c>
      <c r="D9" s="31">
        <v>63.49461854693017</v>
      </c>
      <c r="E9" s="31">
        <v>63.746955548902946</v>
      </c>
      <c r="F9" s="31">
        <v>63.999292550875715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10401000000</v>
      </c>
      <c r="C5" s="18">
        <v>9911000000</v>
      </c>
      <c r="D5" s="18">
        <v>9455000000</v>
      </c>
      <c r="E5" s="18">
        <v>8717000000</v>
      </c>
      <c r="F5" s="8" t="s">
        <v>85</v>
      </c>
    </row>
    <row r="6" spans="1:6" x14ac:dyDescent="0.25">
      <c r="A6" t="s">
        <v>44</v>
      </c>
      <c r="B6" s="18">
        <v>1360000000</v>
      </c>
      <c r="C6" s="18">
        <v>1413000000</v>
      </c>
      <c r="D6" s="18">
        <v>1039000000</v>
      </c>
      <c r="E6" s="18">
        <v>672000000</v>
      </c>
      <c r="F6" s="8" t="s">
        <v>86</v>
      </c>
    </row>
    <row r="7" spans="1:6" x14ac:dyDescent="0.25">
      <c r="A7" t="s">
        <v>87</v>
      </c>
      <c r="B7" s="18">
        <v>1335000000</v>
      </c>
      <c r="C7" s="18">
        <v>1228000000</v>
      </c>
      <c r="D7" s="18">
        <v>1221000000</v>
      </c>
      <c r="E7" s="18">
        <v>1123000000</v>
      </c>
      <c r="F7" s="8" t="s">
        <v>88</v>
      </c>
    </row>
    <row r="8" spans="1:6" x14ac:dyDescent="0.25">
      <c r="A8" t="s">
        <v>89</v>
      </c>
      <c r="B8" s="18">
        <v>663000000</v>
      </c>
      <c r="C8" s="18">
        <v>670000000</v>
      </c>
      <c r="D8" s="18">
        <v>851000000</v>
      </c>
      <c r="E8" s="18">
        <v>745000000</v>
      </c>
      <c r="F8" s="8" t="s">
        <v>90</v>
      </c>
    </row>
    <row r="9" spans="1:6" x14ac:dyDescent="0.25">
      <c r="A9" t="s">
        <v>91</v>
      </c>
      <c r="B9" s="18">
        <v>240000000</v>
      </c>
      <c r="C9" s="18">
        <v>189000000</v>
      </c>
      <c r="D9" s="18">
        <v>404000000</v>
      </c>
      <c r="E9" s="18">
        <v>522000000</v>
      </c>
      <c r="F9" s="8" t="s">
        <v>92</v>
      </c>
    </row>
    <row r="10" spans="1:6" x14ac:dyDescent="0.25">
      <c r="A10" t="s">
        <v>93</v>
      </c>
      <c r="B10" s="18">
        <v>509000000</v>
      </c>
      <c r="C10" s="18">
        <v>497000000</v>
      </c>
      <c r="D10" s="18">
        <v>5135000000</v>
      </c>
      <c r="E10" s="18">
        <v>5068000000</v>
      </c>
      <c r="F10" s="8" t="s">
        <v>94</v>
      </c>
    </row>
    <row r="11" spans="1:6" x14ac:dyDescent="0.25">
      <c r="A11" t="s">
        <v>95</v>
      </c>
      <c r="B11" s="18">
        <v>0</v>
      </c>
      <c r="C11" s="18">
        <v>1830000000</v>
      </c>
      <c r="D11" s="18">
        <v>1101000000</v>
      </c>
      <c r="E11" s="18">
        <v>980000000</v>
      </c>
      <c r="F11" s="8" t="s">
        <v>96</v>
      </c>
    </row>
    <row r="12" spans="1:6" x14ac:dyDescent="0.25">
      <c r="A12" t="s">
        <v>32</v>
      </c>
      <c r="B12" s="34">
        <v>496200000</v>
      </c>
      <c r="C12" s="34">
        <v>497500000</v>
      </c>
      <c r="D12" s="34">
        <v>496500000</v>
      </c>
      <c r="E12" s="34">
        <v>494400000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2026-09-19T00:06:13Z</dcterms:modified>
</cp:coreProperties>
</file>