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<sst xmlns="http://schemas.openxmlformats.org/spreadsheetml/2006/main" count="112" uniqueCount="100">
  <si>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Ampol Limited (ALD.AX)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</si>
  <si>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</si>
  <si>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</si>
  <si>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</si>
  <si>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</si>
  <si>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</si>
  <si>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</si>
  <si>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</si>
  <si>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</si>
  <si>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</si>
  <si>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</si>
  <si>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</si>
  <si>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</si>
  <si>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</si>
  <si>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</si>
  <si>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</si>
  <si>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</si>
  <si>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</si>
  <si>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</si>
  <si>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</si>
  <si>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</si>
  <si>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</si>
  <si>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</si>
  <si>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</si>
  <si>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</si>
  <si>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</si>
  <si>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</si>
  <si>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</si>
  <si>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</si>
  <si>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</si>
  <si>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2025-12-31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</si>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</sst>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-0.03967849154549263</v>
      </c>
    </row>
    <row r="7" spans="1:2" x14ac:dyDescent="0.25">
      <c r="A7" t="s">
        <v>5</v>
      </c>
      <c r="B7" s="6">
        <v>0.013272853689784259</v>
      </c>
    </row>
    <row r="8" spans="1:2" x14ac:dyDescent="0.25">
      <c r="A8" t="s">
        <v>6</v>
      </c>
      <c r="B8" s="6">
        <v>0.21670800164080528</v>
      </c>
    </row>
    <row r="9" spans="1:2" x14ac:dyDescent="0.25">
      <c r="A9" t="s">
        <v>7</v>
      </c>
      <c r="B9" s="6">
        <v>0.013300739280627562</v>
      </c>
    </row>
    <row r="10" spans="1:2" x14ac:dyDescent="0.25">
      <c r="A10" t="s">
        <v>8</v>
      </c>
      <c r="B10" s="6">
        <v>0.0165750908973322</v>
      </c>
    </row>
    <row r="11" spans="1:2" x14ac:dyDescent="0.25">
      <c r="A11" t="s">
        <v>9</v>
      </c>
      <c r="B11" s="6">
        <v>0.32891677819804493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12.930201897517055</v>
      </c>
    </row>
    <row r="14" spans="1:3" x14ac:dyDescent="0.25">
      <c r="A14" t="s">
        <v>12</v>
      </c>
      <c r="B14" s="6">
        <v>0.06685323083319944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0.42045</v>
      </c>
      <c r="C19" s="8" t="s">
        <v>19</v>
      </c>
    </row>
    <row r="20" spans="1:2" x14ac:dyDescent="0.25">
      <c r="A20" t="s">
        <v>20</v>
      </c>
      <c r="B20" s="10">
        <f>B17+B19*B18</f>
        <v>0.078707</v>
      </c>
    </row>
    <row r="21" spans="1:3" x14ac:dyDescent="0.25">
      <c r="A21" t="s">
        <v>21</v>
      </c>
      <c r="B21" s="6">
        <v>0.05348</v>
      </c>
      <c r="C21" s="8" t="s">
        <v>22</v>
      </c>
    </row>
    <row r="22" spans="1:2" x14ac:dyDescent="0.25">
      <c r="A22" t="s">
        <v>23</v>
      </c>
      <c r="B22" s="11">
        <v>10277969920</v>
      </c>
    </row>
    <row r="23" spans="1:2" x14ac:dyDescent="0.25">
      <c r="A23" t="s">
        <v>24</v>
      </c>
      <c r="B23" s="11">
        <v>4880574539.5575</v>
      </c>
    </row>
    <row r="24" spans="1:2" x14ac:dyDescent="0.25">
      <c r="A24" t="s">
        <v>25</v>
      </c>
      <c r="B24" s="10">
        <f>B22/(B22+B23)</f>
        <v>0.6780314526517561</v>
      </c>
    </row>
    <row r="25" spans="1:2" x14ac:dyDescent="0.25">
      <c r="A25" t="s">
        <v>26</v>
      </c>
      <c r="B25" s="10">
        <f>1-B24</f>
        <v>0.32196854734824387</v>
      </c>
    </row>
    <row r="26" spans="1:2" x14ac:dyDescent="0.25">
      <c r="A26" t="s">
        <v>27</v>
      </c>
      <c r="B26" s="12">
        <f>B24*B20+B25*B21*(1-B8)</f>
        <v>0.06685323083319944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36280088034.2869</v>
      </c>
      <c r="C29" s="8" t="s">
        <v>30</v>
      </c>
    </row>
    <row r="30" spans="1:2" x14ac:dyDescent="0.25">
      <c r="A30" t="s">
        <v>31</v>
      </c>
      <c r="B30" s="11">
        <v>4813506312.985</v>
      </c>
    </row>
    <row r="31" spans="1:2" x14ac:dyDescent="0.25">
      <c r="A31" t="s">
        <v>32</v>
      </c>
      <c r="B31" s="13">
        <v>238858110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-0.03967849154549263</v>
      </c>
      <c r="C5" s="10">
        <f>Assumptions!B6</f>
        <v>-0.03967849154549263</v>
      </c>
      <c r="D5" s="10">
        <f>Assumptions!B6</f>
        <v>-0.03967849154549263</v>
      </c>
      <c r="E5" s="10">
        <f>Assumptions!B6</f>
        <v>-0.03967849154549263</v>
      </c>
      <c r="F5" s="10">
        <f>Assumptions!B6</f>
        <v>-0.03967849154549263</v>
      </c>
    </row>
    <row r="6" spans="1:6" x14ac:dyDescent="0.25">
      <c r="A6" t="s">
        <v>43</v>
      </c>
      <c r="B6" s="18">
        <f>Assumptions!B29*(1+B5)</f>
        <v>34840548867.94872</v>
      </c>
      <c r="C6" s="18">
        <f>B6*(1+C5)</f>
        <v>33458128444.251495</v>
      </c>
      <c r="D6" s="18">
        <f>C6*(1+D5)</f>
        <v>32130560377.648254</v>
      </c>
      <c r="E6" s="18">
        <f>D6*(1+E5)</f>
        <v>30855668209.3518</v>
      </c>
      <c r="F6" s="18">
        <f>E6*(1+F5)</f>
        <v>29631361839.176506</v>
      </c>
    </row>
    <row r="7" spans="1:6" x14ac:dyDescent="0.25">
      <c r="A7" t="s">
        <v>5</v>
      </c>
      <c r="B7" s="10">
        <f>Assumptions!B7</f>
        <v>0.013272853689784259</v>
      </c>
      <c r="C7" s="10">
        <f>Assumptions!B7</f>
        <v>0.013272853689784259</v>
      </c>
      <c r="D7" s="10">
        <f>Assumptions!B7</f>
        <v>0.013272853689784259</v>
      </c>
      <c r="E7" s="10">
        <f>Assumptions!B7</f>
        <v>0.013272853689784259</v>
      </c>
      <c r="F7" s="10">
        <f>Assumptions!B7</f>
        <v>0.013272853689784259</v>
      </c>
    </row>
    <row r="8" spans="1:6" x14ac:dyDescent="0.25">
      <c r="A8" t="s">
        <v>44</v>
      </c>
      <c r="B8" s="18">
        <f>B6*B7</f>
        <v>462433507.596062</v>
      </c>
      <c r="C8" s="18">
        <f>C6*C7</f>
        <v>444084843.5745591</v>
      </c>
      <c r="D8" s="18">
        <f>D6*D7</f>
        <v>426464226.86330456</v>
      </c>
      <c r="E8" s="18">
        <f>E6*E7</f>
        <v>409542769.64325386</v>
      </c>
      <c r="F8" s="18">
        <f>F6*F7</f>
        <v>393292730.3204464</v>
      </c>
    </row>
    <row r="9" spans="1:6" x14ac:dyDescent="0.25">
      <c r="A9" t="s">
        <v>45</v>
      </c>
      <c r="B9" s="18">
        <f>B8*(1-Assumptions!B8)</f>
        <v>362220466.27317125</v>
      </c>
      <c r="C9" s="18">
        <f>C8*(1-Assumptions!B8)</f>
        <v>347848104.56454676</v>
      </c>
      <c r="D9" s="18">
        <f>D8*(1-Assumptions!B8)</f>
        <v>334046016.4884668</v>
      </c>
      <c r="E9" s="18">
        <f>E8*(1-Assumptions!B8)</f>
        <v>320791574.44742364</v>
      </c>
      <c r="F9" s="18">
        <f>F8*(1-Assumptions!B8)</f>
        <v>308063048.6728463</v>
      </c>
    </row>
    <row r="10" spans="1:6" x14ac:dyDescent="0.25">
      <c r="A10" t="s">
        <v>46</v>
      </c>
      <c r="B10" s="18">
        <f>B6*Assumptions!B9</f>
        <v>463405056.8865497</v>
      </c>
      <c r="C10" s="18">
        <f>C6*Assumptions!B9</f>
        <v>445017843.2547382</v>
      </c>
      <c r="D10" s="18">
        <f>D6*Assumptions!B9</f>
        <v>427360206.52356166</v>
      </c>
      <c r="E10" s="18">
        <f>E6*Assumptions!B9</f>
        <v>410403198.1821366</v>
      </c>
      <c r="F10" s="18">
        <f>F6*Assumptions!B9</f>
        <v>394119018.3528235</v>
      </c>
    </row>
    <row r="11" spans="1:6" x14ac:dyDescent="0.25">
      <c r="A11" t="s">
        <v>47</v>
      </c>
      <c r="B11" s="18">
        <f>-B6*Assumptions!B10</f>
        <v>-577485264.3991945</v>
      </c>
      <c r="C11" s="18">
        <f>-C6*Assumptions!B10</f>
        <v>-554571520.2180845</v>
      </c>
      <c r="D11" s="18">
        <f>-D6*Assumptions!B10</f>
        <v>-532566958.8417402</v>
      </c>
      <c r="E11" s="18">
        <f>-E6*Assumptions!B10</f>
        <v>-511435505.2679295</v>
      </c>
      <c r="F11" s="18">
        <f>-F6*Assumptions!B10</f>
        <v>-491142515.89609116</v>
      </c>
    </row>
    <row r="12" spans="1:6" x14ac:dyDescent="0.25">
      <c r="A12" t="s">
        <v>48</v>
      </c>
      <c r="B12" s="18">
        <f>-(B6-Assumptions!B29)*Assumptions!B11</f>
        <v>473488584.68185383</v>
      </c>
      <c r="C12" s="18">
        <f>-(C6-B6)*Assumptions!B11</f>
        <v>454701271.87766826</v>
      </c>
      <c r="D12" s="18">
        <f>-(D6-C6)*Assumptions!B11</f>
        <v>436659411.30574554</v>
      </c>
      <c r="E12" s="18">
        <f>-(E6-D6)*Assumptions!B11</f>
        <v>419333424.5459898</v>
      </c>
      <c r="F12" s="18">
        <f>-(F6-E6)*Assumptions!B11</f>
        <v>402694906.8054003</v>
      </c>
    </row>
    <row r="13" spans="1:6" x14ac:dyDescent="0.25">
      <c r="A13" s="19" t="s">
        <v>49</v>
      </c>
      <c r="B13" s="20">
        <f>B9+B10+B11+B12</f>
        <v>721628843.4423802</v>
      </c>
      <c r="C13" s="20">
        <f>C9+C10+C11+C12</f>
        <v>692995699.4788687</v>
      </c>
      <c r="D13" s="20">
        <f>D9+D10+D11+D12</f>
        <v>665498675.4760338</v>
      </c>
      <c r="E13" s="20">
        <f>E9+E10+E11+E12</f>
        <v>639092691.9076205</v>
      </c>
      <c r="F13" s="20">
        <f>F9+F10+F11+F12</f>
        <v>613734457.934979</v>
      </c>
    </row>
    <row r="14" spans="1:6" x14ac:dyDescent="0.25">
      <c r="A14" t="s">
        <v>50</v>
      </c>
      <c r="B14" s="21">
        <f>1/(1+Assumptions!$B$26)^(1-0.5*Assumptions!$B$32)</f>
        <v>0.9681611726682744</v>
      </c>
      <c r="C14" s="21">
        <f>1/(1+Assumptions!$B$26)^(2-0.5*Assumptions!$B$32)</f>
        <v>0.907492375415269</v>
      </c>
      <c r="D14" s="21">
        <f>1/(1+Assumptions!$B$26)^(3-0.5*Assumptions!$B$32)</f>
        <v>0.8506253242599532</v>
      </c>
      <c r="E14" s="21">
        <f>1/(1+Assumptions!$B$26)^(4-0.5*Assumptions!$B$32)</f>
        <v>0.7973217867987568</v>
      </c>
      <c r="F14" s="21">
        <f>1/(1+Assumptions!$B$26)^(5-0.5*Assumptions!$B$32)</f>
        <v>0.7473584592100435</v>
      </c>
    </row>
    <row r="15" spans="1:6" x14ac:dyDescent="0.25">
      <c r="A15" s="19" t="s">
        <v>51</v>
      </c>
      <c r="B15" s="20">
        <f>B13*B14</f>
        <v>698653027.2984254</v>
      </c>
      <c r="C15" s="20">
        <f>C13*C14</f>
        <v>628888313.4726444</v>
      </c>
      <c r="D15" s="20">
        <f>D13*D14</f>
        <v>566090026.6213706</v>
      </c>
      <c r="E15" s="20">
        <f>E13*E14</f>
        <v>509562527.04181135</v>
      </c>
      <c r="F15" s="20">
        <f>F13*F14</f>
        <v>458679638.84639716</v>
      </c>
    </row>
    <row r="17" spans="1:2" x14ac:dyDescent="0.25">
      <c r="A17" s="22" t="s">
        <v>52</v>
      </c>
      <c r="B17" s="23">
        <f>SUM(B15:F15)</f>
        <v>2861873533.280649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613734457.934979</v>
      </c>
    </row>
    <row r="5" spans="1:2" x14ac:dyDescent="0.25">
      <c r="A5" t="s">
        <v>56</v>
      </c>
      <c r="B5" s="18">
        <f>IF(Assumptions!$B$33=0,B4,B4-Forecast!F11-Forecast!F10-Forecast!F12)</f>
        <v>308063048.6728463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0.3739535051398736</v>
      </c>
    </row>
    <row r="7" spans="1:2" x14ac:dyDescent="0.25">
      <c r="A7" t="s">
        <v>58</v>
      </c>
      <c r="B7" s="18">
        <f>-MAX(Forecast!F9,0)*B6</f>
        <v>-115201256.85528636</v>
      </c>
    </row>
    <row r="8" spans="1:2" x14ac:dyDescent="0.25">
      <c r="A8" t="s">
        <v>59</v>
      </c>
      <c r="B8" s="18">
        <f>IF(OR(Assumptions!$B$33=0,Assumptions!B12&lt;=0),B5,MAX(B5+B7,0))</f>
        <v>192861791.81755996</v>
      </c>
    </row>
    <row r="9" spans="1:2" x14ac:dyDescent="0.25">
      <c r="A9" t="s">
        <v>60</v>
      </c>
      <c r="B9" s="18">
        <f>B8*(1+Assumptions!B12)/(Assumptions!B26-Assumptions!B12)</f>
        <v>4723251531.06674</v>
      </c>
    </row>
    <row r="10" spans="1:2" x14ac:dyDescent="0.25">
      <c r="A10" t="s">
        <v>61</v>
      </c>
      <c r="B10" s="18">
        <f>B9/(1+Assumptions!B26)^(5-0.5*Assumptions!B32)</f>
        <v>3529961986.7195177</v>
      </c>
    </row>
    <row r="11" spans="1:2" x14ac:dyDescent="0.25">
      <c r="A11" t="s">
        <v>62</v>
      </c>
      <c r="B11" s="18">
        <f>Forecast!B17+B10</f>
        <v>6391835520.000167</v>
      </c>
    </row>
    <row r="12" spans="1:2" x14ac:dyDescent="0.25">
      <c r="A12" t="s">
        <v>63</v>
      </c>
      <c r="B12" s="18">
        <f>-Assumptions!B30</f>
        <v>-4813506312.985</v>
      </c>
    </row>
    <row r="13" spans="1:2" x14ac:dyDescent="0.25">
      <c r="A13" t="s">
        <v>64</v>
      </c>
      <c r="B13" s="18">
        <f>B11+B12</f>
        <v>1578329207.0151672</v>
      </c>
    </row>
    <row r="14" spans="1:2" x14ac:dyDescent="0.25">
      <c r="A14" s="19" t="s">
        <v>65</v>
      </c>
      <c r="B14" s="24">
        <f>B13/Assumptions!B31</f>
        <v>6.607810833867719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787411748.6732699</v>
      </c>
    </row>
    <row r="18" spans="1:2" x14ac:dyDescent="0.25">
      <c r="A18" t="s">
        <v>60</v>
      </c>
      <c r="B18" s="18">
        <f>B17*Assumptions!B13</f>
        <v>10181392886.822336</v>
      </c>
    </row>
    <row r="19" spans="1:2" x14ac:dyDescent="0.25">
      <c r="A19" t="s">
        <v>61</v>
      </c>
      <c r="B19" s="18">
        <f>B18/(1+Assumptions!B26)^(5-0.5*Assumptions!B32)</f>
        <v>7609150100.507638</v>
      </c>
    </row>
    <row r="20" spans="1:2" x14ac:dyDescent="0.25">
      <c r="A20" t="s">
        <v>62</v>
      </c>
      <c r="B20" s="18">
        <f>Forecast!B17+B19</f>
        <v>10471023633.788288</v>
      </c>
    </row>
    <row r="21" spans="1:2" x14ac:dyDescent="0.25">
      <c r="A21" t="s">
        <v>63</v>
      </c>
      <c r="B21" s="18">
        <f>-Assumptions!B30</f>
        <v>-4813506312.985</v>
      </c>
    </row>
    <row r="22" spans="1:2" x14ac:dyDescent="0.25">
      <c r="A22" t="s">
        <v>64</v>
      </c>
      <c r="B22" s="18">
        <f>B20+B21</f>
        <v>5657517320.803288</v>
      </c>
    </row>
    <row r="23" spans="1:2" x14ac:dyDescent="0.25">
      <c r="A23" s="19" t="s">
        <v>65</v>
      </c>
      <c r="B23" s="25">
        <f>B22/Assumptions!B31</f>
        <v>23.685682352603763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43.13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6.607810833867719</v>
      </c>
    </row>
    <row r="29" spans="1:2" x14ac:dyDescent="0.25">
      <c r="A29" s="19" t="s">
        <v>73</v>
      </c>
      <c r="B29" s="12">
        <f>B28/B26-1</f>
        <v>-0.8467931640652048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0.046853</v>
      </c>
      <c r="B5" s="31">
        <v>17.85995830225289</v>
      </c>
      <c r="C5" s="31">
        <v>19.597446714253067</v>
      </c>
      <c r="D5" s="31">
        <v>22.09196199953209</v>
      </c>
      <c r="E5" s="31">
        <v>26.017295358421233</v>
      </c>
      <c r="F5" s="31">
        <v>33.18415050341115</v>
      </c>
    </row>
    <row r="6" spans="1:6" x14ac:dyDescent="0.25">
      <c r="A6" s="30">
        <v>0.056853</v>
      </c>
      <c r="B6" s="31">
        <v>10.682792046237251</v>
      </c>
      <c r="C6" s="31">
        <v>11.103927839718752</v>
      </c>
      <c r="D6" s="31">
        <v>11.632262586161081</v>
      </c>
      <c r="E6" s="31">
        <v>12.327677278168917</v>
      </c>
      <c r="F6" s="31">
        <v>13.304856361057858</v>
      </c>
    </row>
    <row r="7" spans="1:6" x14ac:dyDescent="0.25">
      <c r="A7" s="30">
        <v>0.066853</v>
      </c>
      <c r="B7" s="31">
        <v>6.463701169006172</v>
      </c>
      <c r="C7" s="31">
        <v>6.535791679083397</v>
      </c>
      <c r="D7" s="32">
        <v>6.607882189160618</v>
      </c>
      <c r="E7" s="31">
        <v>6.679972699237847</v>
      </c>
      <c r="F7" s="31">
        <v>6.7520632093150725</v>
      </c>
    </row>
    <row r="8" spans="1:6" x14ac:dyDescent="0.25">
      <c r="A8" s="30">
        <v>0.076853</v>
      </c>
      <c r="B8" s="31">
        <v>3.783772593547238</v>
      </c>
      <c r="C8" s="31">
        <v>3.8439044893680934</v>
      </c>
      <c r="D8" s="31">
        <v>3.904036385188941</v>
      </c>
      <c r="E8" s="31">
        <v>3.9641682810097962</v>
      </c>
      <c r="F8" s="31">
        <v>4.024300176830644</v>
      </c>
    </row>
    <row r="9" spans="1:6" x14ac:dyDescent="0.25">
      <c r="A9" s="30">
        <v>0.086853</v>
      </c>
      <c r="B9" s="31">
        <v>1.6954309054298153</v>
      </c>
      <c r="C9" s="31">
        <v>1.7464715510921023</v>
      </c>
      <c r="D9" s="31">
        <v>1.7975121967543812</v>
      </c>
      <c r="E9" s="31">
        <v>1.8485528424166682</v>
      </c>
      <c r="F9" s="31">
        <v>1.8995934880789513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36280088034.2869</v>
      </c>
      <c r="C5" s="18">
        <v>38490059642.1472</v>
      </c>
      <c r="D5" s="18">
        <v>40647464197.2649</v>
      </c>
      <c r="E5" s="18">
        <v>40965509854.3273</v>
      </c>
      <c r="F5" s="8" t="s">
        <v>84</v>
      </c>
    </row>
    <row r="6" spans="1:6" x14ac:dyDescent="0.25">
      <c r="A6" t="s">
        <v>44</v>
      </c>
      <c r="B6" s="18">
        <v>597938144.3297</v>
      </c>
      <c r="C6" s="18">
        <v>501877623.1501</v>
      </c>
      <c r="D6" s="18">
        <v>580596532.7877</v>
      </c>
      <c r="E6" s="18">
        <v>380462724.9356</v>
      </c>
      <c r="F6" s="8" t="s">
        <v>85</v>
      </c>
    </row>
    <row r="7" spans="1:6" x14ac:dyDescent="0.25">
      <c r="A7" t="s">
        <v>86</v>
      </c>
      <c r="B7" s="18">
        <v>569211166.4543</v>
      </c>
      <c r="C7" s="18">
        <v>534791252.4851</v>
      </c>
      <c r="D7" s="18">
        <v>494131581.781</v>
      </c>
      <c r="E7" s="18">
        <v>469580119.9658</v>
      </c>
      <c r="F7" s="8" t="s">
        <v>87</v>
      </c>
    </row>
    <row r="8" spans="1:6" x14ac:dyDescent="0.25">
      <c r="A8" t="s">
        <v>88</v>
      </c>
      <c r="B8" s="18">
        <v>812463801.6912</v>
      </c>
      <c r="C8" s="18">
        <v>757234371.5485</v>
      </c>
      <c r="D8" s="18">
        <v>580704210.1863</v>
      </c>
      <c r="E8" s="18">
        <v>407455012.8535</v>
      </c>
      <c r="F8" s="8" t="s">
        <v>89</v>
      </c>
    </row>
    <row r="9" spans="1:6" x14ac:dyDescent="0.25">
      <c r="A9" t="s">
        <v>90</v>
      </c>
      <c r="B9" s="18">
        <v>47706514.81409979</v>
      </c>
      <c r="C9" s="18">
        <v>-709606555.5390999</v>
      </c>
      <c r="D9" s="18">
        <v>-471632772.2758999</v>
      </c>
      <c r="E9" s="18">
        <v>0</v>
      </c>
      <c r="F9" s="8" t="s">
        <v>91</v>
      </c>
    </row>
    <row r="10" spans="1:6" x14ac:dyDescent="0.25">
      <c r="A10" t="s">
        <v>92</v>
      </c>
      <c r="B10" s="18">
        <v>4880574539.5575</v>
      </c>
      <c r="C10" s="18">
        <v>4503313452.6176</v>
      </c>
      <c r="D10" s="18">
        <v>3978679875.0942</v>
      </c>
      <c r="E10" s="18">
        <v>3871465295.6297</v>
      </c>
      <c r="F10" s="8" t="s">
        <v>93</v>
      </c>
    </row>
    <row r="11" spans="1:6" x14ac:dyDescent="0.25">
      <c r="A11" t="s">
        <v>94</v>
      </c>
      <c r="B11" s="18">
        <v>67068226.5725</v>
      </c>
      <c r="C11" s="18">
        <v>136845593.108</v>
      </c>
      <c r="D11" s="18">
        <v>323678259.9332</v>
      </c>
      <c r="E11" s="18">
        <v>134961439.5887</v>
      </c>
      <c r="F11" s="8" t="s">
        <v>95</v>
      </c>
    </row>
    <row r="12" spans="1:6" x14ac:dyDescent="0.25">
      <c r="A12" t="s">
        <v>32</v>
      </c>
      <c r="B12" s="34">
        <v>238858110</v>
      </c>
      <c r="C12" s="34">
        <v>239722387</v>
      </c>
      <c r="D12" s="34">
        <v>238843302</v>
      </c>
      <c r="E12" s="34">
        <v>239515193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2026-09-19T01:04:01Z</dcterms:modified>
</cp:coreProperties>
</file>