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<sst xmlns="http://schemas.openxmlformats.org/spreadsheetml/2006/main" count="112" uniqueCount="100">
  <si>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Alfa Laval AB (publ) (ALFA.ST)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</si>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</sst>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0.10149500777306586</v>
      </c>
    </row>
    <row r="7" spans="1:2" x14ac:dyDescent="0.25">
      <c r="A7" t="s">
        <v>5</v>
      </c>
      <c r="B7" s="6">
        <v>0.14821469732756826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0.039401621967581055</v>
      </c>
    </row>
    <row r="10" spans="1:2" x14ac:dyDescent="0.25">
      <c r="A10" t="s">
        <v>8</v>
      </c>
      <c r="B10" s="6">
        <v>0.040477894303716774</v>
      </c>
    </row>
    <row r="11" spans="1:2" x14ac:dyDescent="0.25">
      <c r="A11" t="s">
        <v>9</v>
      </c>
      <c r="B11" s="6">
        <v>0.02259443426677135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16.751683138487444</v>
      </c>
    </row>
    <row r="14" spans="1:3" x14ac:dyDescent="0.25">
      <c r="A14" t="s">
        <v>12</v>
      </c>
      <c r="B14" s="6">
        <v>0.14084418087653294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0.85461</v>
      </c>
      <c r="C19" s="8" t="s">
        <v>19</v>
      </c>
    </row>
    <row r="20" spans="1:2" x14ac:dyDescent="0.25">
      <c r="A20" t="s">
        <v>20</v>
      </c>
      <c r="B20" s="10">
        <f>B17+B19*B18</f>
        <v>0.09754965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225593491456</v>
      </c>
    </row>
    <row r="23" spans="1:2" x14ac:dyDescent="0.25">
      <c r="A23" t="s">
        <v>24</v>
      </c>
      <c r="B23" s="11">
        <v>21011000000</v>
      </c>
    </row>
    <row r="24" spans="1:2" x14ac:dyDescent="0.25">
      <c r="A24" t="s">
        <v>25</v>
      </c>
      <c r="B24" s="10">
        <f>B22/(B22+B23)</f>
        <v>0.9147987943125162</v>
      </c>
    </row>
    <row r="25" spans="1:2" x14ac:dyDescent="0.25">
      <c r="A25" t="s">
        <v>26</v>
      </c>
      <c r="B25" s="10">
        <f>1-B24</f>
        <v>0.0852012056874838</v>
      </c>
    </row>
    <row r="26" spans="1:2" x14ac:dyDescent="0.25">
      <c r="A26" t="s">
        <v>27</v>
      </c>
      <c r="B26" s="12">
        <f>B24*B20+B25*B21*(1-B8)</f>
        <v>0.09192214018476369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69675000000</v>
      </c>
      <c r="C29" s="8" t="s">
        <v>30</v>
      </c>
    </row>
    <row r="30" spans="1:2" x14ac:dyDescent="0.25">
      <c r="A30" t="s">
        <v>31</v>
      </c>
      <c r="B30" s="11">
        <v>13185000000</v>
      </c>
    </row>
    <row r="31" spans="1:2" x14ac:dyDescent="0.25">
      <c r="A31" t="s">
        <v>32</v>
      </c>
      <c r="B31" s="13">
        <v>413326315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0.10149500777306586</v>
      </c>
      <c r="C5" s="10">
        <f>Assumptions!B6</f>
        <v>0.10149500777306586</v>
      </c>
      <c r="D5" s="10">
        <f>Assumptions!B6</f>
        <v>0.10149500777306586</v>
      </c>
      <c r="E5" s="10">
        <f>Assumptions!B6</f>
        <v>0.10149500777306586</v>
      </c>
      <c r="F5" s="10">
        <f>Assumptions!B6</f>
        <v>0.10149500777306586</v>
      </c>
    </row>
    <row r="6" spans="1:6" x14ac:dyDescent="0.25">
      <c r="A6" t="s">
        <v>43</v>
      </c>
      <c r="B6" s="18">
        <f>Assumptions!B29*(1+B5)</f>
        <v>76746664666.58836</v>
      </c>
      <c r="C6" s="18">
        <f>B6*(1+C5)</f>
        <v>84536067993.48062</v>
      </c>
      <c r="D6" s="18">
        <f>C6*(1+D5)</f>
        <v>93116056871.58336</v>
      </c>
      <c r="E6" s="18">
        <f>D6*(1+E5)</f>
        <v>102566871787.56195</v>
      </c>
      <c r="F6" s="18">
        <f>E6*(1+F5)</f>
        <v>112976897236.8996</v>
      </c>
    </row>
    <row r="7" spans="1:6" x14ac:dyDescent="0.25">
      <c r="A7" t="s">
        <v>5</v>
      </c>
      <c r="B7" s="10">
        <f>Assumptions!B7</f>
        <v>0.14821469732756826</v>
      </c>
      <c r="C7" s="10">
        <f>Assumptions!B7</f>
        <v>0.14821469732756826</v>
      </c>
      <c r="D7" s="10">
        <f>Assumptions!B7</f>
        <v>0.14821469732756826</v>
      </c>
      <c r="E7" s="10">
        <f>Assumptions!B7</f>
        <v>0.14821469732756826</v>
      </c>
      <c r="F7" s="10">
        <f>Assumptions!B7</f>
        <v>0.14821469732756826</v>
      </c>
    </row>
    <row r="8" spans="1:6" x14ac:dyDescent="0.25">
      <c r="A8" t="s">
        <v>44</v>
      </c>
      <c r="B8" s="18">
        <f>B6*B7</f>
        <v>11374983674.45877</v>
      </c>
      <c r="C8" s="18">
        <f>C6*C7</f>
        <v>12529487730.91646</v>
      </c>
      <c r="D8" s="18">
        <f>D6*D7</f>
        <v>13801168185.55836</v>
      </c>
      <c r="E8" s="18">
        <f>E6*E7</f>
        <v>15201917857.828995</v>
      </c>
      <c r="F8" s="18">
        <f>F6*F7</f>
        <v>16744836628.974855</v>
      </c>
    </row>
    <row r="9" spans="1:6" x14ac:dyDescent="0.25">
      <c r="A9" t="s">
        <v>45</v>
      </c>
      <c r="B9" s="18">
        <f>B8*(1-Assumptions!B8)</f>
        <v>8531237755.844078</v>
      </c>
      <c r="C9" s="18">
        <f>C8*(1-Assumptions!B8)</f>
        <v>9397115798.187346</v>
      </c>
      <c r="D9" s="18">
        <f>D8*(1-Assumptions!B8)</f>
        <v>10350876139.16877</v>
      </c>
      <c r="E9" s="18">
        <f>E8*(1-Assumptions!B8)</f>
        <v>11401438393.371746</v>
      </c>
      <c r="F9" s="18">
        <f>F8*(1-Assumptions!B8)</f>
        <v>12558627471.731142</v>
      </c>
    </row>
    <row r="10" spans="1:6" x14ac:dyDescent="0.25">
      <c r="A10" t="s">
        <v>46</v>
      </c>
      <c r="B10" s="18">
        <f>B6*Assumptions!B9</f>
        <v>3023943068.465625</v>
      </c>
      <c r="C10" s="18">
        <f>C6*Assumptions!B9</f>
        <v>3330858193.7048516</v>
      </c>
      <c r="D10" s="18">
        <f>D6*Assumptions!B9</f>
        <v>3668923671.9659057</v>
      </c>
      <c r="E10" s="18">
        <f>E6*Assumptions!B9</f>
        <v>4041301108.5708704</v>
      </c>
      <c r="F10" s="18">
        <f>F6*Assumptions!B9</f>
        <v>4451472995.99857</v>
      </c>
    </row>
    <row r="11" spans="1:6" x14ac:dyDescent="0.25">
      <c r="A11" t="s">
        <v>47</v>
      </c>
      <c r="B11" s="18">
        <f>-B6*Assumptions!B10</f>
        <v>-3106543380.5369587</v>
      </c>
      <c r="C11" s="18">
        <f>-C6*Assumptions!B10</f>
        <v>-3421842025.091923</v>
      </c>
      <c r="D11" s="18">
        <f>-D6*Assumptions!B10</f>
        <v>-3769141908.026831</v>
      </c>
      <c r="E11" s="18">
        <f>-E6*Assumptions!B10</f>
        <v>-4151690995.279803</v>
      </c>
      <c r="F11" s="18">
        <f>-F6*Assumptions!B10</f>
        <v>-4573066905.117094</v>
      </c>
    </row>
    <row r="12" spans="1:6" x14ac:dyDescent="0.25">
      <c r="A12" t="s">
        <v>48</v>
      </c>
      <c r="B12" s="18">
        <f>-(B6-Assumptions!B29)*Assumptions!B11</f>
        <v>-159780262.46588033</v>
      </c>
      <c r="C12" s="18">
        <f>-(C6-B6)*Assumptions!B11</f>
        <v>-175997161.4468372</v>
      </c>
      <c r="D12" s="18">
        <f>-(D6-C6)*Assumptions!B11</f>
        <v>-193859994.71592158</v>
      </c>
      <c r="E12" s="18">
        <f>-(E6-D6)*Assumptions!B11</f>
        <v>-213535816.3865005</v>
      </c>
      <c r="F12" s="18">
        <f>-(F6-E6)*Assumptions!B11</f>
        <v>-235208635.73047635</v>
      </c>
    </row>
    <row r="13" spans="1:6" x14ac:dyDescent="0.25">
      <c r="A13" s="19" t="s">
        <v>49</v>
      </c>
      <c r="B13" s="20">
        <f>B9+B10+B11+B12</f>
        <v>8288857181.306865</v>
      </c>
      <c r="C13" s="20">
        <f>C9+C10+C11+C12</f>
        <v>9130134805.353437</v>
      </c>
      <c r="D13" s="20">
        <f>D9+D10+D11+D12</f>
        <v>10056797908.391924</v>
      </c>
      <c r="E13" s="20">
        <f>E9+E10+E11+E12</f>
        <v>11077512690.276312</v>
      </c>
      <c r="F13" s="20">
        <f>F9+F10+F11+F12</f>
        <v>12201824926.882143</v>
      </c>
    </row>
    <row r="14" spans="1:6" x14ac:dyDescent="0.25">
      <c r="A14" t="s">
        <v>50</v>
      </c>
      <c r="B14" s="21">
        <f>1/(1+Assumptions!$B$26)^(1-0.5*Assumptions!$B$32)</f>
        <v>0.956982870080472</v>
      </c>
      <c r="C14" s="21">
        <f>1/(1+Assumptions!$B$26)^(2-0.5*Assumptions!$B$32)</f>
        <v>0.8764204285834348</v>
      </c>
      <c r="D14" s="21">
        <f>1/(1+Assumptions!$B$26)^(3-0.5*Assumptions!$B$32)</f>
        <v>0.8026400384510347</v>
      </c>
      <c r="E14" s="21">
        <f>1/(1+Assumptions!$B$26)^(4-0.5*Assumptions!$B$32)</f>
        <v>0.7350707609200234</v>
      </c>
      <c r="F14" s="21">
        <f>1/(1+Assumptions!$B$26)^(5-0.5*Assumptions!$B$32)</f>
        <v>0.67318972101403</v>
      </c>
    </row>
    <row r="15" spans="1:6" x14ac:dyDescent="0.25">
      <c r="A15" s="19" t="s">
        <v>51</v>
      </c>
      <c r="B15" s="20">
        <f>B13*B14</f>
        <v>7932294335.054174</v>
      </c>
      <c r="C15" s="20">
        <f>C13*C14</f>
        <v>8001836659.132395</v>
      </c>
      <c r="D15" s="20">
        <f>D13*D14</f>
        <v>8071988659.88598</v>
      </c>
      <c r="E15" s="20">
        <f>E13*E14</f>
        <v>8142755682.342625</v>
      </c>
      <c r="F15" s="20">
        <f>F13*F14</f>
        <v>8214143118.389827</v>
      </c>
    </row>
    <row r="17" spans="1:2" x14ac:dyDescent="0.25">
      <c r="A17" s="22" t="s">
        <v>52</v>
      </c>
      <c r="B17" s="23">
        <f>SUM(B15:F15)</f>
        <v>40363018454.805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12201824926.882143</v>
      </c>
    </row>
    <row r="5" spans="1:2" x14ac:dyDescent="0.25">
      <c r="A5" t="s">
        <v>56</v>
      </c>
      <c r="B5" s="18">
        <f>IF(Assumptions!$B$33=0,B4,B4-Forecast!F11-Forecast!F10-Forecast!F12)</f>
        <v>13295301527.978195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0.1775011210574297</v>
      </c>
    </row>
    <row r="7" spans="1:2" x14ac:dyDescent="0.25">
      <c r="A7" t="s">
        <v>58</v>
      </c>
      <c r="B7" s="18">
        <f>-MAX(Forecast!F9,0)*B6</f>
        <v>-2359930926.0126877</v>
      </c>
    </row>
    <row r="8" spans="1:2" x14ac:dyDescent="0.25">
      <c r="A8" t="s">
        <v>59</v>
      </c>
      <c r="B8" s="18">
        <f>IF(OR(Assumptions!$B$33=0,Assumptions!B12&lt;=0),B5,MAX(B5+B7,0))</f>
        <v>10935370601.965508</v>
      </c>
    </row>
    <row r="9" spans="1:2" x14ac:dyDescent="0.25">
      <c r="A9" t="s">
        <v>60</v>
      </c>
      <c r="B9" s="18">
        <f>B8*(1+Assumptions!B12)/(Assumptions!B26-Assumptions!B12)</f>
        <v>167489486081.41742</v>
      </c>
    </row>
    <row r="10" spans="1:2" x14ac:dyDescent="0.25">
      <c r="A10" t="s">
        <v>61</v>
      </c>
      <c r="B10" s="18">
        <f>B9/(1+Assumptions!B26)^(5-0.5*Assumptions!B32)</f>
        <v>112752200407.93265</v>
      </c>
    </row>
    <row r="11" spans="1:2" x14ac:dyDescent="0.25">
      <c r="A11" t="s">
        <v>62</v>
      </c>
      <c r="B11" s="18">
        <f>Forecast!B17+B10</f>
        <v>153115218862.73764</v>
      </c>
    </row>
    <row r="12" spans="1:2" x14ac:dyDescent="0.25">
      <c r="A12" t="s">
        <v>63</v>
      </c>
      <c r="B12" s="18">
        <f>-Assumptions!B30</f>
        <v>-13185000000</v>
      </c>
    </row>
    <row r="13" spans="1:2" x14ac:dyDescent="0.25">
      <c r="A13" t="s">
        <v>64</v>
      </c>
      <c r="B13" s="18">
        <f>B11+B12</f>
        <v>139930218862.73764</v>
      </c>
    </row>
    <row r="14" spans="1:2" x14ac:dyDescent="0.25">
      <c r="A14" s="19" t="s">
        <v>65</v>
      </c>
      <c r="B14" s="24">
        <f>B13/Assumptions!B31</f>
        <v>338.5466005539416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21196309624.973427</v>
      </c>
    </row>
    <row r="18" spans="1:2" x14ac:dyDescent="0.25">
      <c r="A18" t="s">
        <v>60</v>
      </c>
      <c r="B18" s="18">
        <f>B17*Assumptions!B13</f>
        <v>355073862542.8265</v>
      </c>
    </row>
    <row r="19" spans="1:2" x14ac:dyDescent="0.25">
      <c r="A19" t="s">
        <v>61</v>
      </c>
      <c r="B19" s="18">
        <f>B18/(1+Assumptions!B26)^(5-0.5*Assumptions!B32)</f>
        <v>239032074464.57938</v>
      </c>
    </row>
    <row r="20" spans="1:2" x14ac:dyDescent="0.25">
      <c r="A20" t="s">
        <v>62</v>
      </c>
      <c r="B20" s="18">
        <f>Forecast!B17+B19</f>
        <v>279395092919.3844</v>
      </c>
    </row>
    <row r="21" spans="1:2" x14ac:dyDescent="0.25">
      <c r="A21" t="s">
        <v>63</v>
      </c>
      <c r="B21" s="18">
        <f>-Assumptions!B30</f>
        <v>-13185000000</v>
      </c>
    </row>
    <row r="22" spans="1:2" x14ac:dyDescent="0.25">
      <c r="A22" t="s">
        <v>64</v>
      </c>
      <c r="B22" s="18">
        <f>B20+B21</f>
        <v>266210092919.3844</v>
      </c>
    </row>
    <row r="23" spans="1:2" x14ac:dyDescent="0.25">
      <c r="A23" s="19" t="s">
        <v>65</v>
      </c>
      <c r="B23" s="25">
        <f>B22/Assumptions!B31</f>
        <v>644.0676125820453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545.8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338.5466005539416</v>
      </c>
    </row>
    <row r="29" spans="1:2" x14ac:dyDescent="0.25">
      <c r="A29" s="19" t="s">
        <v>73</v>
      </c>
      <c r="B29" s="12">
        <f>B28/B26-1</f>
        <v>-0.37972407373773986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0.071922</v>
      </c>
      <c r="B5" s="31">
        <v>445.37205603973496</v>
      </c>
      <c r="C5" s="31">
        <v>467.0904532405315</v>
      </c>
      <c r="D5" s="31">
        <v>493.25942435291216</v>
      </c>
      <c r="E5" s="31">
        <v>525.4714174631747</v>
      </c>
      <c r="F5" s="31">
        <v>566.1814818635627</v>
      </c>
    </row>
    <row r="6" spans="1:6" x14ac:dyDescent="0.25">
      <c r="A6" s="30">
        <v>0.081922</v>
      </c>
      <c r="B6" s="31">
        <v>373.90547680601736</v>
      </c>
      <c r="C6" s="31">
        <v>387.0325076611694</v>
      </c>
      <c r="D6" s="31">
        <v>402.3249237692639</v>
      </c>
      <c r="E6" s="31">
        <v>420.4082938447982</v>
      </c>
      <c r="F6" s="31">
        <v>442.1748285674451</v>
      </c>
    </row>
    <row r="7" spans="1:6" x14ac:dyDescent="0.25">
      <c r="A7" s="30">
        <v>0.091922</v>
      </c>
      <c r="B7" s="31">
        <v>321.05544839516614</v>
      </c>
      <c r="C7" s="31">
        <v>329.2468299432317</v>
      </c>
      <c r="D7" s="32">
        <v>338.5473611462971</v>
      </c>
      <c r="E7" s="31">
        <v>349.22572268045496</v>
      </c>
      <c r="F7" s="31">
        <v>361.64499832642946</v>
      </c>
    </row>
    <row r="8" spans="1:6" x14ac:dyDescent="0.25">
      <c r="A8" s="30">
        <v>0.101922</v>
      </c>
      <c r="B8" s="31">
        <v>280.39539128057027</v>
      </c>
      <c r="C8" s="31">
        <v>285.5772343888369</v>
      </c>
      <c r="D8" s="31">
        <v>291.3368070510768</v>
      </c>
      <c r="E8" s="31">
        <v>297.7946001227944</v>
      </c>
      <c r="F8" s="31">
        <v>305.1071138003701</v>
      </c>
    </row>
    <row r="9" spans="1:6" x14ac:dyDescent="0.25">
      <c r="A9" s="30">
        <v>0.111922</v>
      </c>
      <c r="B9" s="31">
        <v>248.1510506509968</v>
      </c>
      <c r="C9" s="31">
        <v>251.41669212770987</v>
      </c>
      <c r="D9" s="31">
        <v>254.97652881307155</v>
      </c>
      <c r="E9" s="31">
        <v>258.88442814354255</v>
      </c>
      <c r="F9" s="31">
        <v>263.2082632851433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69675000000</v>
      </c>
      <c r="C5" s="18">
        <v>66953000000</v>
      </c>
      <c r="D5" s="18">
        <v>63598000000</v>
      </c>
      <c r="E5" s="18">
        <v>52135000000</v>
      </c>
      <c r="F5" s="8" t="s">
        <v>84</v>
      </c>
    </row>
    <row r="6" spans="1:6" x14ac:dyDescent="0.25">
      <c r="A6" t="s">
        <v>44</v>
      </c>
      <c r="B6" s="18">
        <v>11751000000</v>
      </c>
      <c r="C6" s="18">
        <v>10402000000</v>
      </c>
      <c r="D6" s="18">
        <v>9204000000</v>
      </c>
      <c r="E6" s="18">
        <v>6471000000</v>
      </c>
      <c r="F6" s="8" t="s">
        <v>85</v>
      </c>
    </row>
    <row r="7" spans="1:6" x14ac:dyDescent="0.25">
      <c r="A7" t="s">
        <v>86</v>
      </c>
      <c r="B7" s="18">
        <v>2503000000</v>
      </c>
      <c r="C7" s="18">
        <v>2418000000</v>
      </c>
      <c r="D7" s="18">
        <v>2524000000</v>
      </c>
      <c r="E7" s="18">
        <v>2392000000</v>
      </c>
      <c r="F7" s="8" t="s">
        <v>87</v>
      </c>
    </row>
    <row r="8" spans="1:6" x14ac:dyDescent="0.25">
      <c r="A8" t="s">
        <v>88</v>
      </c>
      <c r="B8" s="18">
        <v>2660000000</v>
      </c>
      <c r="C8" s="18">
        <v>3336000000</v>
      </c>
      <c r="D8" s="18">
        <v>2440000000</v>
      </c>
      <c r="E8" s="18">
        <v>1853000000</v>
      </c>
      <c r="F8" s="8" t="s">
        <v>89</v>
      </c>
    </row>
    <row r="9" spans="1:6" x14ac:dyDescent="0.25">
      <c r="A9" t="s">
        <v>90</v>
      </c>
      <c r="B9" s="18">
        <v>2674000000</v>
      </c>
      <c r="C9" s="18">
        <v>-2309000000</v>
      </c>
      <c r="D9" s="18">
        <v>259000000</v>
      </c>
      <c r="E9" s="18">
        <v>3891000000</v>
      </c>
      <c r="F9" s="8" t="s">
        <v>91</v>
      </c>
    </row>
    <row r="10" spans="1:6" x14ac:dyDescent="0.25">
      <c r="A10" t="s">
        <v>92</v>
      </c>
      <c r="B10" s="18">
        <v>21011000000</v>
      </c>
      <c r="C10" s="18">
        <v>13312000000</v>
      </c>
      <c r="D10" s="18">
        <v>16208000000</v>
      </c>
      <c r="E10" s="18">
        <v>18156000000</v>
      </c>
      <c r="F10" s="8" t="s">
        <v>93</v>
      </c>
    </row>
    <row r="11" spans="1:6" x14ac:dyDescent="0.25">
      <c r="A11" t="s">
        <v>94</v>
      </c>
      <c r="B11" s="18">
        <v>7826000000</v>
      </c>
      <c r="C11" s="18">
        <v>7812000000</v>
      </c>
      <c r="D11" s="18">
        <v>5857000000</v>
      </c>
      <c r="E11" s="18">
        <v>4656000000</v>
      </c>
      <c r="F11" s="8" t="s">
        <v>95</v>
      </c>
    </row>
    <row r="12" spans="1:6" x14ac:dyDescent="0.25">
      <c r="A12" t="s">
        <v>32</v>
      </c>
      <c r="B12" s="34">
        <v>413326315</v>
      </c>
      <c r="C12" s="34">
        <v>413326315</v>
      </c>
      <c r="D12" s="34">
        <v>413326315</v>
      </c>
      <c r="E12" s="34">
        <v>413637227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