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<sst xmlns="http://schemas.openxmlformats.org/spreadsheetml/2006/main" count="111" uniqueCount="99">
  <si>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Align Technology, Inc. (ALGN)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</si>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</sst>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0.026117671821406674</v>
      </c>
    </row>
    <row r="7" spans="1:2" x14ac:dyDescent="0.25">
      <c r="A7" t="s">
        <v>5</v>
      </c>
      <c r="B7" s="6">
        <v>0.16454767848246948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0.041416192632503984</v>
      </c>
    </row>
    <row r="10" spans="1:2" x14ac:dyDescent="0.25">
      <c r="A10" t="s">
        <v>8</v>
      </c>
      <c r="B10" s="6">
        <v>0.04461629583337837</v>
      </c>
    </row>
    <row r="11" spans="1:2" x14ac:dyDescent="0.25">
      <c r="A11" t="s">
        <v>9</v>
      </c>
      <c r="B11" s="6">
        <v>0.5296668421668421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11.553650334793078</v>
      </c>
    </row>
    <row r="14" spans="1:3" x14ac:dyDescent="0.25">
      <c r="A14" t="s">
        <v>12</v>
      </c>
      <c r="B14" s="6">
        <v>0.14033018621505564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1.4308100000000001</v>
      </c>
      <c r="C19" s="8" t="s">
        <v>19</v>
      </c>
    </row>
    <row r="20" spans="1:2" x14ac:dyDescent="0.25">
      <c r="A20" t="s">
        <v>20</v>
      </c>
      <c r="B20" s="10">
        <f>B17+B19*B18</f>
        <v>0.12867455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10486193152</v>
      </c>
    </row>
    <row r="23" spans="1:2" x14ac:dyDescent="0.25">
      <c r="A23" t="s">
        <v>24</v>
      </c>
      <c r="B23" s="11">
        <v>114446000</v>
      </c>
    </row>
    <row r="24" spans="1:2" x14ac:dyDescent="0.25">
      <c r="A24" t="s">
        <v>25</v>
      </c>
      <c r="B24" s="10">
        <f>B22/(B22+B23)</f>
        <v>0.9892038585259826</v>
      </c>
    </row>
    <row r="25" spans="1:2" x14ac:dyDescent="0.25">
      <c r="A25" t="s">
        <v>26</v>
      </c>
      <c r="B25" s="10">
        <f>1-B24</f>
        <v>0.010796141474017418</v>
      </c>
    </row>
    <row r="26" spans="1:2" x14ac:dyDescent="0.25">
      <c r="A26" t="s">
        <v>27</v>
      </c>
      <c r="B26" s="12">
        <f>B24*B20+B25*B21*(1-B8)</f>
        <v>0.12788221739857233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4034964000</v>
      </c>
      <c r="C29" s="8" t="s">
        <v>30</v>
      </c>
    </row>
    <row r="30" spans="1:2" x14ac:dyDescent="0.25">
      <c r="A30" t="s">
        <v>31</v>
      </c>
      <c r="B30" s="11">
        <v>-980462000</v>
      </c>
    </row>
    <row r="31" spans="1:2" x14ac:dyDescent="0.25">
      <c r="A31" t="s">
        <v>32</v>
      </c>
      <c r="B31" s="13">
        <v>72588000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0.026117671821406674</v>
      </c>
      <c r="C5" s="10">
        <f>Assumptions!B6</f>
        <v>0.026117671821406674</v>
      </c>
      <c r="D5" s="10">
        <f>Assumptions!B6</f>
        <v>0.026117671821406674</v>
      </c>
      <c r="E5" s="10">
        <f>Assumptions!B6</f>
        <v>0.026117671821406674</v>
      </c>
      <c r="F5" s="10">
        <f>Assumptions!B6</f>
        <v>0.026117671821406674</v>
      </c>
    </row>
    <row r="6" spans="1:6" x14ac:dyDescent="0.25">
      <c r="A6" t="s">
        <v>43</v>
      </c>
      <c r="B6" s="18">
        <f>Assumptions!B29*(1+B5)</f>
        <v>4140347865.5631905</v>
      </c>
      <c r="C6" s="18">
        <f>B6*(1+C5)</f>
        <v>4248484112.3424315</v>
      </c>
      <c r="D6" s="18">
        <f>C6*(1+D5)</f>
        <v>4359444626.127051</v>
      </c>
      <c r="E6" s="18">
        <f>D6*(1+E5)</f>
        <v>4473303170.195832</v>
      </c>
      <c r="F6" s="18">
        <f>E6*(1+F5)</f>
        <v>4590135434.352665</v>
      </c>
    </row>
    <row r="7" spans="1:6" x14ac:dyDescent="0.25">
      <c r="A7" t="s">
        <v>5</v>
      </c>
      <c r="B7" s="10">
        <f>Assumptions!B7</f>
        <v>0.16454767848246948</v>
      </c>
      <c r="C7" s="10">
        <f>Assumptions!B7</f>
        <v>0.16454767848246948</v>
      </c>
      <c r="D7" s="10">
        <f>Assumptions!B7</f>
        <v>0.16454767848246948</v>
      </c>
      <c r="E7" s="10">
        <f>Assumptions!B7</f>
        <v>0.16454767848246948</v>
      </c>
      <c r="F7" s="10">
        <f>Assumptions!B7</f>
        <v>0.16454767848246948</v>
      </c>
    </row>
    <row r="8" spans="1:6" x14ac:dyDescent="0.25">
      <c r="A8" t="s">
        <v>44</v>
      </c>
      <c r="B8" s="18">
        <f>B6*B7</f>
        <v>681284629.3882706</v>
      </c>
      <c r="C8" s="18">
        <f>C6*C7</f>
        <v>699078197.7556022</v>
      </c>
      <c r="D8" s="18">
        <f>D6*D7</f>
        <v>717336492.7020835</v>
      </c>
      <c r="E8" s="18">
        <f>E6*E7</f>
        <v>736071651.8039953</v>
      </c>
      <c r="F8" s="18">
        <f>F6*F7</f>
        <v>755296129.6428528</v>
      </c>
    </row>
    <row r="9" spans="1:6" x14ac:dyDescent="0.25">
      <c r="A9" t="s">
        <v>45</v>
      </c>
      <c r="B9" s="18">
        <f>B8*(1-Assumptions!B8)</f>
        <v>538214857.2167338</v>
      </c>
      <c r="C9" s="18">
        <f>C8*(1-Assumptions!B8)</f>
        <v>552271776.2269258</v>
      </c>
      <c r="D9" s="18">
        <f>D8*(1-Assumptions!B8)</f>
        <v>566695829.234646</v>
      </c>
      <c r="E9" s="18">
        <f>E8*(1-Assumptions!B8)</f>
        <v>581496604.9251562</v>
      </c>
      <c r="F9" s="18">
        <f>F8*(1-Assumptions!B8)</f>
        <v>596683942.4178537</v>
      </c>
    </row>
    <row r="10" spans="1:6" x14ac:dyDescent="0.25">
      <c r="A10" t="s">
        <v>46</v>
      </c>
      <c r="B10" s="18">
        <f>B6*Assumptions!B9</f>
        <v>171477444.7657418</v>
      </c>
      <c r="C10" s="18">
        <f>C6*Assumptions!B9</f>
        <v>175956036.39290684</v>
      </c>
      <c r="D10" s="18">
        <f>D6*Assumptions!B9</f>
        <v>180551598.40641227</v>
      </c>
      <c r="E10" s="18">
        <f>E6*Assumptions!B9</f>
        <v>185267185.80042136</v>
      </c>
      <c r="F10" s="18">
        <f>F6*Assumptions!B9</f>
        <v>190105933.35843232</v>
      </c>
    </row>
    <row r="11" spans="1:6" x14ac:dyDescent="0.25">
      <c r="A11" t="s">
        <v>47</v>
      </c>
      <c r="B11" s="18">
        <f>-B6*Assumptions!B10</f>
        <v>-184726985.22306398</v>
      </c>
      <c r="C11" s="18">
        <f>-C6*Assumptions!B10</f>
        <v>-189551623.9996778</v>
      </c>
      <c r="D11" s="18">
        <f>-D6*Assumptions!B10</f>
        <v>-194502271.10851607</v>
      </c>
      <c r="E11" s="18">
        <f>-E6*Assumptions!B10</f>
        <v>-199582217.59384656</v>
      </c>
      <c r="F11" s="18">
        <f>-F6*Assumptions!B10</f>
        <v>-204794840.45435122</v>
      </c>
    </row>
    <row r="12" spans="1:6" x14ac:dyDescent="0.25">
      <c r="A12" t="s">
        <v>48</v>
      </c>
      <c r="B12" s="18">
        <f>-(B6-Assumptions!B29)*Assumptions!B11</f>
        <v>-55818339.28819011</v>
      </c>
      <c r="C12" s="18">
        <f>-(C6-B6)*Assumptions!B11</f>
        <v>-57276184.355334975</v>
      </c>
      <c r="D12" s="18">
        <f>-(D6-C6)*Assumptions!B11</f>
        <v>-58772104.94150993</v>
      </c>
      <c r="E12" s="18">
        <f>-(E6-D6)*Assumptions!B11</f>
        <v>-60307095.49062541</v>
      </c>
      <c r="F12" s="18">
        <f>-(F6-E6)*Assumptions!B11</f>
        <v>-61882176.41915191</v>
      </c>
    </row>
    <row r="13" spans="1:6" x14ac:dyDescent="0.25">
      <c r="A13" s="19" t="s">
        <v>49</v>
      </c>
      <c r="B13" s="20">
        <f>B9+B10+B11+B12</f>
        <v>469146977.47122157</v>
      </c>
      <c r="C13" s="20">
        <f>C9+C10+C11+C12</f>
        <v>481400004.26482</v>
      </c>
      <c r="D13" s="20">
        <f>D9+D10+D11+D12</f>
        <v>493973051.59103215</v>
      </c>
      <c r="E13" s="20">
        <f>E9+E10+E11+E12</f>
        <v>506874477.64110565</v>
      </c>
      <c r="F13" s="20">
        <f>F9+F10+F11+F12</f>
        <v>520112858.9027829</v>
      </c>
    </row>
    <row r="14" spans="1:6" x14ac:dyDescent="0.25">
      <c r="A14" t="s">
        <v>50</v>
      </c>
      <c r="B14" s="21">
        <f>1/(1+Assumptions!$B$26)^(1-0.5*Assumptions!$B$32)</f>
        <v>0.9416036325340738</v>
      </c>
      <c r="C14" s="21">
        <f>1/(1+Assumptions!$B$26)^(2-0.5*Assumptions!$B$32)</f>
        <v>0.8348421652624822</v>
      </c>
      <c r="D14" s="21">
        <f>1/(1+Assumptions!$B$26)^(3-0.5*Assumptions!$B$32)</f>
        <v>0.7401855906444039</v>
      </c>
      <c r="E14" s="21">
        <f>1/(1+Assumptions!$B$26)^(4-0.5*Assumptions!$B$32)</f>
        <v>0.656261424487763</v>
      </c>
      <c r="F14" s="21">
        <f>1/(1+Assumptions!$B$26)^(5-0.5*Assumptions!$B$32)</f>
        <v>0.5818527984255404</v>
      </c>
    </row>
    <row r="15" spans="1:6" x14ac:dyDescent="0.25">
      <c r="A15" s="19" t="s">
        <v>51</v>
      </c>
      <c r="B15" s="20">
        <f>B13*B14</f>
        <v>441750498.1792835</v>
      </c>
      <c r="C15" s="20">
        <f>C13*C14</f>
        <v>401893021.9178105</v>
      </c>
      <c r="D15" s="20">
        <f>D13*D14</f>
        <v>365631734.95432675</v>
      </c>
      <c r="E15" s="20">
        <f>E13*E14</f>
        <v>332642166.7332428</v>
      </c>
      <c r="F15" s="20">
        <f>F13*F14</f>
        <v>302629122.4496925</v>
      </c>
    </row>
    <row r="17" spans="1:2" x14ac:dyDescent="0.25">
      <c r="A17" s="22" t="s">
        <v>52</v>
      </c>
      <c r="B17" s="23">
        <f>SUM(B15:F15)</f>
        <v>1844546544.234356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520112858.9027829</v>
      </c>
    </row>
    <row r="5" spans="1:2" x14ac:dyDescent="0.25">
      <c r="A5" t="s">
        <v>56</v>
      </c>
      <c r="B5" s="18">
        <f>IF(Assumptions!$B$33=0,B4,B4-Forecast!F11-Forecast!F10-Forecast!F12)</f>
        <v>596683942.4178537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0.17815126363252715</v>
      </c>
    </row>
    <row r="7" spans="1:2" x14ac:dyDescent="0.25">
      <c r="A7" t="s">
        <v>58</v>
      </c>
      <c r="B7" s="18">
        <f>-MAX(Forecast!F9,0)*B6</f>
        <v>-106299998.3309787</v>
      </c>
    </row>
    <row r="8" spans="1:2" x14ac:dyDescent="0.25">
      <c r="A8" t="s">
        <v>59</v>
      </c>
      <c r="B8" s="18">
        <f>IF(OR(Assumptions!$B$33=0,Assumptions!B12&lt;=0),B5,MAX(B5+B7,0))</f>
        <v>490383944.086875</v>
      </c>
    </row>
    <row r="9" spans="1:2" x14ac:dyDescent="0.25">
      <c r="A9" t="s">
        <v>60</v>
      </c>
      <c r="B9" s="18">
        <f>B8*(1+Assumptions!B12)/(Assumptions!B26-Assumptions!B12)</f>
        <v>4885621202.561891</v>
      </c>
    </row>
    <row r="10" spans="1:2" x14ac:dyDescent="0.25">
      <c r="A10" t="s">
        <v>61</v>
      </c>
      <c r="B10" s="18">
        <f>B9/(1+Assumptions!B26)^(5-0.5*Assumptions!B32)</f>
        <v>2842712368.75779</v>
      </c>
    </row>
    <row r="11" spans="1:2" x14ac:dyDescent="0.25">
      <c r="A11" t="s">
        <v>62</v>
      </c>
      <c r="B11" s="18">
        <f>Forecast!B17+B10</f>
        <v>4687258912.992146</v>
      </c>
    </row>
    <row r="12" spans="1:2" x14ac:dyDescent="0.25">
      <c r="A12" t="s">
        <v>63</v>
      </c>
      <c r="B12" s="18">
        <f>-Assumptions!B30</f>
        <v>980462000</v>
      </c>
    </row>
    <row r="13" spans="1:2" x14ac:dyDescent="0.25">
      <c r="A13" t="s">
        <v>64</v>
      </c>
      <c r="B13" s="18">
        <f>B11+B12</f>
        <v>5667720912.992146</v>
      </c>
    </row>
    <row r="14" spans="1:2" x14ac:dyDescent="0.25">
      <c r="A14" s="19" t="s">
        <v>65</v>
      </c>
      <c r="B14" s="24">
        <f>B13/Assumptions!B31</f>
        <v>78.08068706937986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945402063.0012851</v>
      </c>
    </row>
    <row r="18" spans="1:2" x14ac:dyDescent="0.25">
      <c r="A18" t="s">
        <v>60</v>
      </c>
      <c r="B18" s="18">
        <f>B17*Assumptions!B13</f>
        <v>10922844861.708864</v>
      </c>
    </row>
    <row r="19" spans="1:2" x14ac:dyDescent="0.25">
      <c r="A19" t="s">
        <v>61</v>
      </c>
      <c r="B19" s="18">
        <f>B18/(1+Assumptions!B26)^(5-0.5*Assumptions!B32)</f>
        <v>6355487849.553337</v>
      </c>
    </row>
    <row r="20" spans="1:2" x14ac:dyDescent="0.25">
      <c r="A20" t="s">
        <v>62</v>
      </c>
      <c r="B20" s="18">
        <f>Forecast!B17+B19</f>
        <v>8200034393.787693</v>
      </c>
    </row>
    <row r="21" spans="1:2" x14ac:dyDescent="0.25">
      <c r="A21" t="s">
        <v>63</v>
      </c>
      <c r="B21" s="18">
        <f>-Assumptions!B30</f>
        <v>980462000</v>
      </c>
    </row>
    <row r="22" spans="1:2" x14ac:dyDescent="0.25">
      <c r="A22" t="s">
        <v>64</v>
      </c>
      <c r="B22" s="18">
        <f>B20+B21</f>
        <v>9180496393.787693</v>
      </c>
    </row>
    <row r="23" spans="1:2" x14ac:dyDescent="0.25">
      <c r="A23" s="19" t="s">
        <v>65</v>
      </c>
      <c r="B23" s="25">
        <f>B22/Assumptions!B31</f>
        <v>126.47402316894932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147.61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78.08068706937986</v>
      </c>
    </row>
    <row r="29" spans="1:2" x14ac:dyDescent="0.25">
      <c r="A29" s="19" t="s">
        <v>73</v>
      </c>
      <c r="B29" s="12">
        <f>B28/B26-1</f>
        <v>-0.47103389289763664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0.107882</v>
      </c>
      <c r="B5" s="31">
        <v>90.59365319591723</v>
      </c>
      <c r="C5" s="31">
        <v>91.59180631094104</v>
      </c>
      <c r="D5" s="31">
        <v>92.68810480658306</v>
      </c>
      <c r="E5" s="31">
        <v>93.90145139090518</v>
      </c>
      <c r="F5" s="31">
        <v>95.25593598089922</v>
      </c>
    </row>
    <row r="6" spans="1:6" x14ac:dyDescent="0.25">
      <c r="A6" s="30">
        <v>0.117882</v>
      </c>
      <c r="B6" s="31">
        <v>83.31508180614865</v>
      </c>
      <c r="C6" s="31">
        <v>83.93449650844168</v>
      </c>
      <c r="D6" s="31">
        <v>84.6015016832175</v>
      </c>
      <c r="E6" s="31">
        <v>85.32422023490754</v>
      </c>
      <c r="F6" s="31">
        <v>86.11273518097893</v>
      </c>
    </row>
    <row r="7" spans="1:6" x14ac:dyDescent="0.25">
      <c r="A7" s="30">
        <v>0.127882</v>
      </c>
      <c r="B7" s="31">
        <v>77.32793411657723</v>
      </c>
      <c r="C7" s="31">
        <v>77.6948260393489</v>
      </c>
      <c r="D7" s="32">
        <v>78.08081511330337</v>
      </c>
      <c r="E7" s="31">
        <v>78.48882789559872</v>
      </c>
      <c r="F7" s="31">
        <v>78.92242111009004</v>
      </c>
    </row>
    <row r="8" spans="1:6" x14ac:dyDescent="0.25">
      <c r="A8" s="30">
        <v>0.137882</v>
      </c>
      <c r="B8" s="31">
        <v>72.31679879059045</v>
      </c>
      <c r="C8" s="31">
        <v>72.5120756301174</v>
      </c>
      <c r="D8" s="31">
        <v>72.7101427131938</v>
      </c>
      <c r="E8" s="31">
        <v>72.9113879975258</v>
      </c>
      <c r="F8" s="31">
        <v>73.11627485881391</v>
      </c>
    </row>
    <row r="9" spans="1:6" x14ac:dyDescent="0.25">
      <c r="A9" s="30">
        <v>0.147882</v>
      </c>
      <c r="B9" s="31">
        <v>68.24547133603188</v>
      </c>
      <c r="C9" s="31">
        <v>68.39488716305989</v>
      </c>
      <c r="D9" s="31">
        <v>68.5443029900879</v>
      </c>
      <c r="E9" s="31">
        <v>68.69371881711592</v>
      </c>
      <c r="F9" s="31">
        <v>68.84313464414393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4034964000</v>
      </c>
      <c r="C5" s="18">
        <v>3999012000</v>
      </c>
      <c r="D5" s="18">
        <v>3862260000</v>
      </c>
      <c r="E5" s="18">
        <v>3734635000</v>
      </c>
      <c r="F5" s="8" t="s">
        <v>84</v>
      </c>
    </row>
    <row r="6" spans="1:6" x14ac:dyDescent="0.25">
      <c r="A6" t="s">
        <v>44</v>
      </c>
      <c r="B6" s="18">
        <v>585311000</v>
      </c>
      <c r="C6" s="18">
        <v>671764000</v>
      </c>
      <c r="D6" s="18">
        <v>656654000</v>
      </c>
      <c r="E6" s="18">
        <v>654048000</v>
      </c>
      <c r="F6" s="8" t="s">
        <v>85</v>
      </c>
    </row>
    <row r="7" spans="1:6" x14ac:dyDescent="0.25">
      <c r="A7" t="s">
        <v>86</v>
      </c>
      <c r="B7" s="18">
        <v>237436000</v>
      </c>
      <c r="C7" s="18">
        <v>145034000</v>
      </c>
      <c r="D7" s="18">
        <v>142401000</v>
      </c>
      <c r="E7" s="18">
        <v>125793000</v>
      </c>
      <c r="F7" s="8" t="s">
        <v>87</v>
      </c>
    </row>
    <row r="8" spans="1:6" x14ac:dyDescent="0.25">
      <c r="A8" t="s">
        <v>88</v>
      </c>
      <c r="B8" s="18">
        <v>102445000</v>
      </c>
      <c r="C8" s="18">
        <v>115580000</v>
      </c>
      <c r="D8" s="18">
        <v>177716000</v>
      </c>
      <c r="E8" s="18">
        <v>291900000</v>
      </c>
      <c r="F8" s="8" t="s">
        <v>89</v>
      </c>
    </row>
    <row r="9" spans="1:6" x14ac:dyDescent="0.25">
      <c r="A9" t="s">
        <v>90</v>
      </c>
      <c r="B9" s="18">
        <v>356015000</v>
      </c>
      <c r="C9" s="18">
        <v>72433000</v>
      </c>
      <c r="D9" s="18">
        <v>7892000</v>
      </c>
      <c r="E9" s="18">
        <v>84314000</v>
      </c>
      <c r="F9" s="8" t="s">
        <v>91</v>
      </c>
    </row>
    <row r="10" spans="1:6" x14ac:dyDescent="0.25">
      <c r="A10" t="s">
        <v>92</v>
      </c>
      <c r="B10" s="18">
        <v>114446000</v>
      </c>
      <c r="C10" s="18">
        <v>119277000</v>
      </c>
      <c r="D10" s="18">
        <v>126619000</v>
      </c>
      <c r="E10" s="18">
        <v>126908000</v>
      </c>
      <c r="F10" s="8" t="s">
        <v>93</v>
      </c>
    </row>
    <row r="11" spans="1:6" x14ac:dyDescent="0.25">
      <c r="A11" t="s">
        <v>94</v>
      </c>
      <c r="B11" s="18">
        <v>1094908000</v>
      </c>
      <c r="C11" s="18">
        <v>1043887000</v>
      </c>
      <c r="D11" s="18">
        <v>972742000</v>
      </c>
      <c r="E11" s="18">
        <v>999584000</v>
      </c>
      <c r="F11" s="8" t="s">
        <v>95</v>
      </c>
    </row>
    <row r="12" spans="1:6" x14ac:dyDescent="0.25">
      <c r="A12" t="s">
        <v>32</v>
      </c>
      <c r="B12" s="34">
        <v>72588000</v>
      </c>
      <c r="C12" s="34">
        <v>74993000</v>
      </c>
      <c r="D12" s="34">
        <v>76568000</v>
      </c>
      <c r="E12" s="34">
        <v>78420000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2026-09-19T00:07:44Z</dcterms:modified>
</cp:coreProperties>
</file>