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<sst xmlns="http://schemas.openxmlformats.org/spreadsheetml/2006/main" count="119" uniqueCount="106">
  <si>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Align Technology, Inc. (ALGN)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</si>
  <si>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</si>
  <si>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</si>
  <si>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</si>
  <si>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</si>
  <si>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</si>
  <si>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</si>
  <si>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</si>
  <si>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</si>
  <si>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</si>
  <si>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</si>
  <si>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</si>
  <si>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</si>
  <si>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</si>
  <si>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</si>
  <si>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</si>
  <si>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</si>
  <si>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</si>
  <si>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</si>
  <si>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</si>
  <si>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</si>
  <si>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</si>
  <si>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</si>
  <si>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</si>
  <si>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Assumed: risk-free + 200bp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</si>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</sst>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0.022377525549174715</v>
      </c>
    </row>
    <row r="7" spans="1:2" x14ac:dyDescent="0.25">
      <c r="A7" t="s">
        <v>4</v>
      </c>
      <c r="B7" s="5">
        <v>0.16454767848246948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0.041416192632503984</v>
      </c>
    </row>
    <row r="10" spans="1:3" x14ac:dyDescent="0.25">
      <c r="A10" t="s">
        <v>7</v>
      </c>
      <c r="B10" s="5">
        <v>0.04461629583337837</v>
      </c>
      <c r="C10" s="6" t="s">
        <v>8</v>
      </c>
    </row>
    <row r="11" spans="1:2" x14ac:dyDescent="0.25">
      <c r="A11" t="s">
        <v>9</v>
      </c>
      <c r="B11" s="5">
        <v>0.28602465624513984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12.1166177792201</v>
      </c>
    </row>
    <row r="14" spans="1:3" x14ac:dyDescent="0.25">
      <c r="A14" t="s">
        <v>12</v>
      </c>
      <c r="B14" s="5">
        <v>0.14033018621505564</v>
      </c>
      <c r="C14" s="6" t="s">
        <v>13</v>
      </c>
    </row>
    <row r="15" spans="1:3" x14ac:dyDescent="0.25">
      <c r="A15" t="s">
        <v>14</v>
      </c>
      <c r="B15" s="5">
        <v>0.041416192632503984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1.4944600000000001</v>
      </c>
      <c r="C19" s="6" t="s">
        <v>21</v>
      </c>
    </row>
    <row r="20" spans="1:2" x14ac:dyDescent="0.25">
      <c r="A20" t="s">
        <v>22</v>
      </c>
      <c r="B20" s="9">
        <f>B17+B19*B18</f>
        <v>0.11215565800000002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10949372928</v>
      </c>
    </row>
    <row r="23" spans="1:2" x14ac:dyDescent="0.25">
      <c r="A23" t="s">
        <v>26</v>
      </c>
      <c r="B23" s="10">
        <v>114446000</v>
      </c>
    </row>
    <row r="24" spans="1:2" x14ac:dyDescent="0.25">
      <c r="A24" t="s">
        <v>27</v>
      </c>
      <c r="B24" s="9">
        <f>B22/(B22+B23)</f>
        <v>0.989655832154812</v>
      </c>
    </row>
    <row r="25" spans="1:2" x14ac:dyDescent="0.25">
      <c r="A25" t="s">
        <v>28</v>
      </c>
      <c r="B25" s="9">
        <f>1-B24</f>
        <v>0.01034416784518799</v>
      </c>
    </row>
    <row r="26" spans="1:2" x14ac:dyDescent="0.25">
      <c r="A26" t="s">
        <v>29</v>
      </c>
      <c r="B26" s="11">
        <f>B24*B20+B25*B21*(1-B8)</f>
        <v>0.11155887132454585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4034964000</v>
      </c>
      <c r="C29" s="6" t="s">
        <v>32</v>
      </c>
    </row>
    <row r="30" spans="1:2" x14ac:dyDescent="0.25">
      <c r="A30" t="s">
        <v>33</v>
      </c>
      <c r="B30" s="10">
        <v>-980462000</v>
      </c>
    </row>
    <row r="31" spans="1:2" x14ac:dyDescent="0.25">
      <c r="A31" t="s">
        <v>34</v>
      </c>
      <c r="B31" s="12">
        <v>72588000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0.022377525549174715</v>
      </c>
      <c r="C5" s="5">
        <v>0.030428396318075368</v>
      </c>
      <c r="D5" s="5">
        <v>0.029749846778315946</v>
      </c>
      <c r="E5" s="5">
        <v>0.029071297238556525</v>
      </c>
      <c r="F5" s="5">
        <v>0.028392747698797106</v>
      </c>
      <c r="G5" s="5">
        <v>0.027714198159037685</v>
      </c>
      <c r="H5" s="5">
        <v>0.027035648619278263</v>
      </c>
      <c r="I5" s="5">
        <v>0.026357099079518845</v>
      </c>
      <c r="J5" s="5">
        <v>0.025678549539759423</v>
      </c>
      <c r="K5" s="5">
        <v>0.025</v>
      </c>
    </row>
    <row r="6" spans="1:11" x14ac:dyDescent="0.25">
      <c r="A6" t="s">
        <v>50</v>
      </c>
      <c r="B6" s="18">
        <f>Assumptions!B29*(1+B5)</f>
        <v>4125256510</v>
      </c>
      <c r="C6" s="18">
        <f>B6*(1+C5)</f>
        <v>4250781450.0000005</v>
      </c>
      <c r="D6" s="18">
        <f>C6*(1+D5)</f>
        <v>4377241546.825608</v>
      </c>
      <c r="E6" s="18">
        <f>D6*(1+E5)</f>
        <v>4504493636.918334</v>
      </c>
      <c r="F6" s="18">
        <f>E6*(1+F5)</f>
        <v>4632388588.262193</v>
      </c>
      <c r="G6" s="18">
        <f>F6*(1+G5)</f>
        <v>4760771523.546956</v>
      </c>
      <c r="H6" s="18">
        <f>G6*(1+H5)</f>
        <v>4889482069.614238</v>
      </c>
      <c r="I6" s="18">
        <f>H6*(1+I5)</f>
        <v>5018354632.970591</v>
      </c>
      <c r="J6" s="18">
        <f>I6*(1+J5)</f>
        <v>5147218701.021407</v>
      </c>
      <c r="K6" s="18">
        <f>J6*(1+K5)</f>
        <v>5275899168.546942</v>
      </c>
    </row>
    <row r="7" spans="1:11" x14ac:dyDescent="0.25">
      <c r="A7" t="s">
        <v>4</v>
      </c>
      <c r="B7" s="9">
        <f>Assumptions!B7</f>
        <v>0.16454767848246948</v>
      </c>
      <c r="C7" s="9">
        <f>Assumptions!B7</f>
        <v>0.16454767848246948</v>
      </c>
      <c r="D7" s="9">
        <f>Assumptions!B7</f>
        <v>0.16454767848246948</v>
      </c>
      <c r="E7" s="9">
        <f>Assumptions!B7</f>
        <v>0.16454767848246948</v>
      </c>
      <c r="F7" s="9">
        <f>Assumptions!B7</f>
        <v>0.16454767848246948</v>
      </c>
      <c r="G7" s="9">
        <f>Assumptions!B7</f>
        <v>0.16454767848246948</v>
      </c>
      <c r="H7" s="9">
        <f>Assumptions!B7</f>
        <v>0.16454767848246948</v>
      </c>
      <c r="I7" s="9">
        <f>Assumptions!B7</f>
        <v>0.16454767848246948</v>
      </c>
      <c r="J7" s="9">
        <f>Assumptions!B7</f>
        <v>0.16454767848246948</v>
      </c>
      <c r="K7" s="9">
        <f>Assumptions!B7</f>
        <v>0.16454767848246948</v>
      </c>
    </row>
    <row r="8" spans="1:11" x14ac:dyDescent="0.25">
      <c r="A8" t="s">
        <v>51</v>
      </c>
      <c r="B8" s="18">
        <f>B6*B7</f>
        <v>678801381.8651942</v>
      </c>
      <c r="C8" s="18">
        <f>C6*C7</f>
        <v>699456219.3338455</v>
      </c>
      <c r="D8" s="18">
        <f>D6*D7</f>
        <v>720264934.6871675</v>
      </c>
      <c r="E8" s="18">
        <f>E6*E7</f>
        <v>741203970.6939677</v>
      </c>
      <c r="F8" s="18">
        <f>F6*F7</f>
        <v>762248788.027228</v>
      </c>
      <c r="G8" s="18">
        <f>G6*G7</f>
        <v>783373901.9851009</v>
      </c>
      <c r="H8" s="18">
        <f>H6*H7</f>
        <v>804552923.5366831</v>
      </c>
      <c r="I8" s="18">
        <f>I6*I7</f>
        <v>825758604.6570559</v>
      </c>
      <c r="J8" s="18">
        <f>J6*J7</f>
        <v>846962887.8946247</v>
      </c>
      <c r="K8" s="18">
        <f>K6*K7</f>
        <v>868136960.0919902</v>
      </c>
    </row>
    <row r="9" spans="1:11" x14ac:dyDescent="0.25">
      <c r="A9" t="s">
        <v>52</v>
      </c>
      <c r="B9" s="18">
        <f>B8*(1-Assumptions!B8)</f>
        <v>536253091.67350346</v>
      </c>
      <c r="C9" s="18">
        <f>C8*(1-Assumptions!B8)</f>
        <v>552570413.2737379</v>
      </c>
      <c r="D9" s="18">
        <f>D8*(1-Assumptions!B8)</f>
        <v>569009298.4028624</v>
      </c>
      <c r="E9" s="18">
        <f>E8*(1-Assumptions!B8)</f>
        <v>585551136.8482345</v>
      </c>
      <c r="F9" s="18">
        <f>F8*(1-Assumptions!B8)</f>
        <v>602176542.5415101</v>
      </c>
      <c r="G9" s="18">
        <f>G8*(1-Assumptions!B8)</f>
        <v>618865382.5682297</v>
      </c>
      <c r="H9" s="18">
        <f>H8*(1-Assumptions!B8)</f>
        <v>635596809.5939797</v>
      </c>
      <c r="I9" s="18">
        <f>I8*(1-Assumptions!B8)</f>
        <v>652349297.6790742</v>
      </c>
      <c r="J9" s="18">
        <f>J8*(1-Assumptions!B8)</f>
        <v>669100681.4367535</v>
      </c>
      <c r="K9" s="18">
        <f>K8*(1-Assumptions!B8)</f>
        <v>685828198.4726723</v>
      </c>
    </row>
    <row r="10" spans="1:11" x14ac:dyDescent="0.25">
      <c r="A10" t="s">
        <v>53</v>
      </c>
      <c r="B10" s="18">
        <f>B6*Assumptions!B9</f>
        <v>170852418.27665108</v>
      </c>
      <c r="C10" s="18">
        <f>C6*Assumptions!B9</f>
        <v>176051183.37187463</v>
      </c>
      <c r="D10" s="18">
        <f>D6*Assumptions!B9</f>
        <v>181288679.1023291</v>
      </c>
      <c r="E10" s="18">
        <f>E6*Assumptions!B9</f>
        <v>186558976.17849818</v>
      </c>
      <c r="F10" s="18">
        <f>F6*Assumptions!B9</f>
        <v>191855898.12008017</v>
      </c>
      <c r="G10" s="18">
        <f>G6*Assumptions!B9</f>
        <v>197173030.49856022</v>
      </c>
      <c r="H10" s="18">
        <f>H6*Assumptions!B9</f>
        <v>202503731.26831752</v>
      </c>
      <c r="I10" s="18">
        <f>I6*Assumptions!B9</f>
        <v>207841142.1773288</v>
      </c>
      <c r="J10" s="18">
        <f>J6*Assumptions!B9</f>
        <v>213178201.24312952</v>
      </c>
      <c r="K10" s="18">
        <f>K6*Assumptions!B9</f>
        <v>218507656.27420774</v>
      </c>
    </row>
    <row r="11" spans="1:11" x14ac:dyDescent="0.25">
      <c r="A11" t="s">
        <v>54</v>
      </c>
      <c r="B11" s="18">
        <f>-B6*B19</f>
        <v>-184053664.83872998</v>
      </c>
      <c r="C11" s="18">
        <f>-C6*C19</f>
        <v>-199080586.92360392</v>
      </c>
      <c r="D11" s="18">
        <f>-D6*D19</f>
        <v>-214710103.97491068</v>
      </c>
      <c r="E11" s="18">
        <f>-E6*E19</f>
        <v>-230941097.49937055</v>
      </c>
      <c r="F11" s="18">
        <f>-F6*F19</f>
        <v>-247770859.8622473</v>
      </c>
      <c r="G11" s="18">
        <f>-G6*G19</f>
        <v>-265195040.54070735</v>
      </c>
      <c r="H11" s="18">
        <f>-H6*H19</f>
        <v>-283207596.8688278</v>
      </c>
      <c r="I11" s="18">
        <f>-I6*I19</f>
        <v>-301800749.6692638</v>
      </c>
      <c r="J11" s="18">
        <f>-J6*J19</f>
        <v>-320964944.1546274</v>
      </c>
      <c r="K11" s="18">
        <f>-K6*K19</f>
        <v>-340688816.46693397</v>
      </c>
    </row>
    <row r="12" spans="1:11" x14ac:dyDescent="0.25">
      <c r="A12" t="s">
        <v>55</v>
      </c>
      <c r="B12" s="18">
        <f>-(B6-Assumptions!B29)*Assumptions!B11</f>
        <v>-25825884.134260852</v>
      </c>
      <c r="C12" s="18">
        <f>-(C6-B6)*Assumptions!B11</f>
        <v>-35903227.813691944</v>
      </c>
      <c r="D12" s="18">
        <f>-(D6-C6)*Assumptions!B11</f>
        <v>-36170705.72327156</v>
      </c>
      <c r="E12" s="18">
        <f>-(E6-D6)*Assumptions!B11</f>
        <v>-36397235.32524745</v>
      </c>
      <c r="F12" s="18">
        <f>-(F6-E6)*Assumptions!B11</f>
        <v>-36581109.493616074</v>
      </c>
      <c r="G12" s="18">
        <f>-(G6-F6)*Assumptions!B11</f>
        <v>-36720684.932566464</v>
      </c>
      <c r="H12" s="18">
        <f>-(H6-G6)*Assumptions!B11</f>
        <v>-36814389.69401849</v>
      </c>
      <c r="I12" s="18">
        <f>-(I6-H6)*Assumptions!B11</f>
        <v>-36860730.633430816</v>
      </c>
      <c r="J12" s="18">
        <f>-(J6-I6)*Assumptions!B11</f>
        <v>-36858300.766585104</v>
      </c>
      <c r="K12" s="18">
        <f>-(K6-J6)*Assumptions!B11</f>
        <v>-36805786.489454925</v>
      </c>
    </row>
    <row r="13" spans="1:11" x14ac:dyDescent="0.25">
      <c r="A13" s="19" t="s">
        <v>56</v>
      </c>
      <c r="B13" s="20">
        <f>B9+B10+B11+B12</f>
        <v>497225960.97716373</v>
      </c>
      <c r="C13" s="20">
        <f>C9+C10+C11+C12</f>
        <v>493637781.9083166</v>
      </c>
      <c r="D13" s="20">
        <f>D9+D10+D11+D12</f>
        <v>499417167.80700934</v>
      </c>
      <c r="E13" s="20">
        <f>E9+E10+E11+E12</f>
        <v>504771780.20211464</v>
      </c>
      <c r="F13" s="20">
        <f>F9+F10+F11+F12</f>
        <v>509680471.305727</v>
      </c>
      <c r="G13" s="20">
        <f>G9+G10+G11+G12</f>
        <v>514122687.59351605</v>
      </c>
      <c r="H13" s="20">
        <f>H9+H10+H11+H12</f>
        <v>518078554.299451</v>
      </c>
      <c r="I13" s="20">
        <f>I9+I10+I11+I12</f>
        <v>521528959.55370843</v>
      </c>
      <c r="J13" s="20">
        <f>J9+J10+J11+J12</f>
        <v>524455637.75867057</v>
      </c>
      <c r="K13" s="20">
        <f>K9+K10+K11+K12</f>
        <v>526841251.79049116</v>
      </c>
    </row>
    <row r="14" spans="1:11" x14ac:dyDescent="0.25">
      <c r="A14" t="s">
        <v>57</v>
      </c>
      <c r="B14" s="21">
        <f>1/(1+Assumptions!$B$26)^(1-0.5*Assumptions!$B$32)</f>
        <v>0.9484922036183934</v>
      </c>
      <c r="C14" s="21">
        <f>1/(1+Assumptions!$B$26)^(2-0.5*Assumptions!$B$32)</f>
        <v>0.8532991172011966</v>
      </c>
      <c r="D14" s="21">
        <f>1/(1+Assumptions!$B$26)^(3-0.5*Assumptions!$B$32)</f>
        <v>0.7676598506963431</v>
      </c>
      <c r="E14" s="21">
        <f>1/(1+Assumptions!$B$26)^(4-0.5*Assumptions!$B$32)</f>
        <v>0.6906155584738315</v>
      </c>
      <c r="F14" s="21">
        <f>1/(1+Assumptions!$B$26)^(5-0.5*Assumptions!$B$32)</f>
        <v>0.6213036270862436</v>
      </c>
      <c r="G14" s="21">
        <f>1/(1+Assumptions!$B$26)^(6-0.5*Assumptions!$B$32)</f>
        <v>0.558948017162502</v>
      </c>
      <c r="H14" s="21">
        <f>1/(1+Assumptions!$B$26)^(7-0.5*Assumptions!$B$32)</f>
        <v>0.5028505746136984</v>
      </c>
      <c r="I14" s="21">
        <f>1/(1+Assumptions!$B$26)^(8-0.5*Assumptions!$B$32)</f>
        <v>0.45238321386837216</v>
      </c>
      <c r="J14" s="21">
        <f>1/(1+Assumptions!$B$26)^(9-0.5*Assumptions!$B$32)</f>
        <v>0.40698088561814755</v>
      </c>
      <c r="K14" s="21">
        <f>1/(1+Assumptions!$B$26)^(10-0.5*Assumptions!$B$32)</f>
        <v>0.36613525033827904</v>
      </c>
    </row>
    <row r="15" spans="1:11" x14ac:dyDescent="0.25">
      <c r="A15" s="19" t="s">
        <v>58</v>
      </c>
      <c r="B15" s="20">
        <f>B13*B14</f>
        <v>471614947.4235033</v>
      </c>
      <c r="C15" s="20">
        <f>C13*C14</f>
        <v>421220683.5195234</v>
      </c>
      <c r="D15" s="20">
        <f>D13*D14</f>
        <v>383382508.47391933</v>
      </c>
      <c r="E15" s="20">
        <f>E13*E14</f>
        <v>348603244.8861135</v>
      </c>
      <c r="F15" s="20">
        <f>F13*F14</f>
        <v>316666325.4772743</v>
      </c>
      <c r="G15" s="20">
        <f>G13*G14</f>
        <v>287367856.8086522</v>
      </c>
      <c r="H15" s="20">
        <f>H13*H14</f>
        <v>260516098.72451308</v>
      </c>
      <c r="I15" s="20">
        <f>I13*I14</f>
        <v>235930946.8483349</v>
      </c>
      <c r="J15" s="20">
        <f>J13*J14</f>
        <v>213443419.92245412</v>
      </c>
      <c r="K15" s="20">
        <f>K13*K14</f>
        <v>192895153.61284378</v>
      </c>
    </row>
    <row r="17" spans="1:2" x14ac:dyDescent="0.25">
      <c r="A17" s="22" t="s">
        <v>59</v>
      </c>
      <c r="B17" s="23">
        <f>SUM(B15:K15)</f>
        <v>3131641185.6971326</v>
      </c>
    </row>
    <row r="19" spans="1:11" x14ac:dyDescent="0.25">
      <c r="A19" t="s">
        <v>7</v>
      </c>
      <c r="B19" s="9">
        <f>Assumptions!$B$10+($B$20-Assumptions!$B$10)*0/9</f>
        <v>0.04461629583337837</v>
      </c>
      <c r="C19" s="9">
        <f>Assumptions!$B$10+($B$20-Assumptions!$B$10)*1/9</f>
        <v>0.04683387966784411</v>
      </c>
      <c r="D19" s="9">
        <f>Assumptions!$B$10+($B$20-Assumptions!$B$10)*2/9</f>
        <v>0.04905146350230986</v>
      </c>
      <c r="E19" s="9">
        <f>Assumptions!$B$10+($B$20-Assumptions!$B$10)*3/9</f>
        <v>0.0512690473367756</v>
      </c>
      <c r="F19" s="9">
        <f>Assumptions!$B$10+($B$20-Assumptions!$B$10)*4/9</f>
        <v>0.05348663117124135</v>
      </c>
      <c r="G19" s="9">
        <f>Assumptions!$B$10+($B$20-Assumptions!$B$10)*5/9</f>
        <v>0.05570421500570709</v>
      </c>
      <c r="H19" s="9">
        <f>Assumptions!$B$10+($B$20-Assumptions!$B$10)*6/9</f>
        <v>0.05792179884017283</v>
      </c>
      <c r="I19" s="9">
        <f>Assumptions!$B$10+($B$20-Assumptions!$B$10)*7/9</f>
        <v>0.06013938267463858</v>
      </c>
      <c r="J19" s="9">
        <f>Assumptions!$B$10+($B$20-Assumptions!$B$10)*8/9</f>
        <v>0.06235696650910433</v>
      </c>
      <c r="K19" s="9">
        <f>Assumptions!$B$10+($B$20-Assumptions!$B$10)*9/9</f>
        <v>0.06457455034357007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0.06457455034357007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526841251.79049116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685828198.4726723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0.17815126363252715</v>
      </c>
    </row>
    <row r="7" spans="1:2" x14ac:dyDescent="0.25">
      <c r="A7" t="s">
        <v>66</v>
      </c>
      <c r="B7" s="18">
        <f>-MAX(B5,0)*B6</f>
        <v>-122181160.1927262</v>
      </c>
    </row>
    <row r="8" spans="1:2" x14ac:dyDescent="0.25">
      <c r="A8" t="s">
        <v>67</v>
      </c>
      <c r="B8" s="18">
        <f>IF(OR(Assumptions!$B$33=0,Assumptions!B12&lt;=0),B5,MAX(B5+B7,0))</f>
        <v>563647038.2799461</v>
      </c>
    </row>
    <row r="9" spans="1:2" x14ac:dyDescent="0.25">
      <c r="A9" t="s">
        <v>68</v>
      </c>
      <c r="B9" s="18">
        <f>B8*(1+Assumptions!B12)/(Assumptions!B26-Assumptions!B12)</f>
        <v>6674511871.472533</v>
      </c>
    </row>
    <row r="10" spans="1:2" x14ac:dyDescent="0.25">
      <c r="A10" t="s">
        <v>69</v>
      </c>
      <c r="B10" s="18">
        <f>B9/(1+Assumptions!B26)^(10-0.5*Assumptions!B32)</f>
        <v>2443774074.947411</v>
      </c>
    </row>
    <row r="11" spans="1:2" x14ac:dyDescent="0.25">
      <c r="A11" t="s">
        <v>70</v>
      </c>
      <c r="B11" s="18">
        <f>Forecast!B17+B10</f>
        <v>5575415260.644544</v>
      </c>
    </row>
    <row r="12" spans="1:2" x14ac:dyDescent="0.25">
      <c r="A12" t="s">
        <v>71</v>
      </c>
      <c r="B12" s="18">
        <f>-Assumptions!B30</f>
        <v>980462000</v>
      </c>
    </row>
    <row r="13" spans="1:2" x14ac:dyDescent="0.25">
      <c r="A13" t="s">
        <v>72</v>
      </c>
      <c r="B13" s="18">
        <f>B11+B12</f>
        <v>6555877260.644544</v>
      </c>
    </row>
    <row r="14" spans="1:2" x14ac:dyDescent="0.25">
      <c r="A14" s="19" t="s">
        <v>73</v>
      </c>
      <c r="B14" s="24">
        <f>B13/Assumptions!B31</f>
        <v>90.31626798705769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1086644616.366198</v>
      </c>
    </row>
    <row r="18" spans="1:2" x14ac:dyDescent="0.25">
      <c r="A18" t="s">
        <v>68</v>
      </c>
      <c r="B18" s="18">
        <f>B17*Assumptions!B13</f>
        <v>13166457478.35648</v>
      </c>
    </row>
    <row r="19" spans="1:2" x14ac:dyDescent="0.25">
      <c r="A19" t="s">
        <v>69</v>
      </c>
      <c r="B19" s="18">
        <f>B18/(1+Assumptions!B26)^(10-0.5*Assumptions!B32)</f>
        <v>4820704204.906356</v>
      </c>
    </row>
    <row r="20" spans="1:2" x14ac:dyDescent="0.25">
      <c r="A20" t="s">
        <v>70</v>
      </c>
      <c r="B20" s="18">
        <f>Forecast!B17+B19</f>
        <v>7952345390.603489</v>
      </c>
    </row>
    <row r="21" spans="1:2" x14ac:dyDescent="0.25">
      <c r="A21" t="s">
        <v>71</v>
      </c>
      <c r="B21" s="18">
        <f>-Assumptions!B30</f>
        <v>980462000</v>
      </c>
    </row>
    <row r="22" spans="1:2" x14ac:dyDescent="0.25">
      <c r="A22" t="s">
        <v>72</v>
      </c>
      <c r="B22" s="18">
        <f>B20+B21</f>
        <v>8932807390.603489</v>
      </c>
    </row>
    <row r="23" spans="1:2" x14ac:dyDescent="0.25">
      <c r="A23" s="19" t="s">
        <v>73</v>
      </c>
      <c r="B23" s="25">
        <f>B22/Assumptions!B31</f>
        <v>123.06176490058259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154.13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90.31626798705769</v>
      </c>
    </row>
    <row r="29" spans="1:2" x14ac:dyDescent="0.25">
      <c r="A29" s="19" t="s">
        <v>81</v>
      </c>
      <c r="B29" s="11">
        <f>B28/B26-1</f>
        <v>-0.4140253812557082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0.091559</v>
      </c>
      <c r="B5" s="31">
        <v>110.54621996697163</v>
      </c>
      <c r="C5" s="31">
        <v>111.2444058254897</v>
      </c>
      <c r="D5" s="31">
        <v>112.15641945039023</v>
      </c>
      <c r="E5" s="31">
        <v>113.33436397030982</v>
      </c>
      <c r="F5" s="31">
        <v>114.84876685966073</v>
      </c>
    </row>
    <row r="6" spans="1:6" x14ac:dyDescent="0.25">
      <c r="A6" s="30">
        <v>0.101559</v>
      </c>
      <c r="B6" s="31">
        <v>99.45323721338907</v>
      </c>
      <c r="C6" s="31">
        <v>99.5787237427319</v>
      </c>
      <c r="D6" s="31">
        <v>99.810338799209</v>
      </c>
      <c r="E6" s="31">
        <v>100.17032875164911</v>
      </c>
      <c r="F6" s="31">
        <v>100.68762467533041</v>
      </c>
    </row>
    <row r="7" spans="1:6" x14ac:dyDescent="0.25">
      <c r="A7" s="30">
        <v>0.111559</v>
      </c>
      <c r="B7" s="31">
        <v>90.67600637632628</v>
      </c>
      <c r="C7" s="31">
        <v>90.47032796275863</v>
      </c>
      <c r="D7" s="32">
        <v>90.31615992665294</v>
      </c>
      <c r="E7" s="31">
        <v>90.22297584740491</v>
      </c>
      <c r="F7" s="31">
        <v>90.20272414849008</v>
      </c>
    </row>
    <row r="8" spans="1:6" x14ac:dyDescent="0.25">
      <c r="A8" s="30">
        <v>0.121559</v>
      </c>
      <c r="B8" s="31">
        <v>83.56089417809602</v>
      </c>
      <c r="C8" s="31">
        <v>83.16271254506006</v>
      </c>
      <c r="D8" s="31">
        <v>82.7873381007392</v>
      </c>
      <c r="E8" s="31">
        <v>82.43850731921832</v>
      </c>
      <c r="F8" s="31">
        <v>82.12082001036113</v>
      </c>
    </row>
    <row r="9" spans="1:6" x14ac:dyDescent="0.25">
      <c r="A9" s="30">
        <v>0.131559</v>
      </c>
      <c r="B9" s="31">
        <v>77.67873757084998</v>
      </c>
      <c r="C9" s="31">
        <v>77.17073777380698</v>
      </c>
      <c r="D9" s="31">
        <v>76.67019097386549</v>
      </c>
      <c r="E9" s="31">
        <v>76.17819795930156</v>
      </c>
      <c r="F9" s="31">
        <v>75.69608752163806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4034964000</v>
      </c>
      <c r="C5" s="18">
        <v>3999012000</v>
      </c>
      <c r="D5" s="18">
        <v>3862260000</v>
      </c>
      <c r="E5" s="18">
        <v>3734635000</v>
      </c>
      <c r="F5" s="6" t="s">
        <v>91</v>
      </c>
    </row>
    <row r="6" spans="1:6" x14ac:dyDescent="0.25">
      <c r="A6" t="s">
        <v>51</v>
      </c>
      <c r="B6" s="18">
        <v>585311000</v>
      </c>
      <c r="C6" s="18">
        <v>671764000</v>
      </c>
      <c r="D6" s="18">
        <v>656654000</v>
      </c>
      <c r="E6" s="18">
        <v>654048000</v>
      </c>
      <c r="F6" s="6" t="s">
        <v>92</v>
      </c>
    </row>
    <row r="7" spans="1:6" x14ac:dyDescent="0.25">
      <c r="A7" t="s">
        <v>93</v>
      </c>
      <c r="B7" s="18">
        <v>237436000</v>
      </c>
      <c r="C7" s="18">
        <v>145034000</v>
      </c>
      <c r="D7" s="18">
        <v>142401000</v>
      </c>
      <c r="E7" s="18">
        <v>125793000</v>
      </c>
      <c r="F7" s="6" t="s">
        <v>94</v>
      </c>
    </row>
    <row r="8" spans="1:6" x14ac:dyDescent="0.25">
      <c r="A8" t="s">
        <v>95</v>
      </c>
      <c r="B8" s="18">
        <v>102445000</v>
      </c>
      <c r="C8" s="18">
        <v>115580000</v>
      </c>
      <c r="D8" s="18">
        <v>177716000</v>
      </c>
      <c r="E8" s="18">
        <v>291900000</v>
      </c>
      <c r="F8" s="6" t="s">
        <v>96</v>
      </c>
    </row>
    <row r="9" spans="1:6" x14ac:dyDescent="0.25">
      <c r="A9" t="s">
        <v>97</v>
      </c>
      <c r="B9" s="18">
        <v>356015000</v>
      </c>
      <c r="C9" s="18">
        <v>72433000</v>
      </c>
      <c r="D9" s="18">
        <v>7892000</v>
      </c>
      <c r="E9" s="18">
        <v>84314000</v>
      </c>
      <c r="F9" s="6" t="s">
        <v>98</v>
      </c>
    </row>
    <row r="10" spans="1:6" x14ac:dyDescent="0.25">
      <c r="A10" t="s">
        <v>99</v>
      </c>
      <c r="B10" s="18">
        <v>114446000</v>
      </c>
      <c r="C10" s="18">
        <v>119277000</v>
      </c>
      <c r="D10" s="18">
        <v>126619000</v>
      </c>
      <c r="E10" s="18">
        <v>126908000</v>
      </c>
      <c r="F10" s="6" t="s">
        <v>100</v>
      </c>
    </row>
    <row r="11" spans="1:6" x14ac:dyDescent="0.25">
      <c r="A11" t="s">
        <v>101</v>
      </c>
      <c r="B11" s="18">
        <v>1094908000</v>
      </c>
      <c r="C11" s="18">
        <v>1043887000</v>
      </c>
      <c r="D11" s="18">
        <v>972742000</v>
      </c>
      <c r="E11" s="18">
        <v>999584000</v>
      </c>
      <c r="F11" s="6" t="s">
        <v>102</v>
      </c>
    </row>
    <row r="12" spans="1:6" x14ac:dyDescent="0.25">
      <c r="A12" t="s">
        <v>34</v>
      </c>
      <c r="B12" s="34">
        <v>72588000</v>
      </c>
      <c r="C12" s="34">
        <v>74993000</v>
      </c>
      <c r="D12" s="34">
        <v>76568000</v>
      </c>
      <c r="E12" s="34">
        <v>78420000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