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<sst xmlns="http://schemas.openxmlformats.org/spreadsheetml/2006/main" count="117" uniqueCount="105">
  <si>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Alkane Resources Ltd (ALK.AX)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</si>
  <si>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</si>
  <si>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</si>
  <si>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</si>
  <si>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</si>
  <si>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</si>
  <si>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</si>
  <si>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</si>
  <si>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</si>
  <si>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</si>
  <si>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</si>
  <si>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</si>
  <si>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</si>
  <si>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</si>
  <si>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</si>
  <si>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</si>
  <si>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</si>
  <si>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</si>
  <si>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</si>
  <si>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</si>
  <si>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</si>
  <si>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</si>
  <si>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</si>
  <si>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</si>
  <si>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</si>
  <si>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</si>
  <si>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</si>
  <si>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</si>
  <si>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</si>
  <si>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</si>
  <si>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</si>
  <si>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</si>
  <si>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</si>
  <si>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</si>
  <si>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</si>
  <si>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</si>
  <si>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</si>
  <si>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</si>
  <si>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</si>
  <si>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</si>
  <si>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</si>
  <si>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</si>
  <si>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</si>
  <si>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</si>
  <si>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</si>
  <si>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</si>
  <si>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</si>
  <si>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</si>
  <si>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</si>
  <si>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</si>
  <si>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</si>
  <si>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</si>
  <si>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</si>
  <si>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</si>
  <si>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</si>
  <si>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</si>
  <si>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</si>
  <si>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</si>
  <si>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</si>
  <si>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</si>
  <si>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</si>
  <si>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</si>
  <si>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</si>
  <si>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</si>
  <si>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</si>
  <si>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</si>
  <si>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</si>
  <si>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</si>
  <si>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</si>
  <si>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</si>
  <si>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</si>
  <si>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</si>
  <si>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</si>
  <si>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</si>
  <si>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</si>
  <si>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</si>
  <si>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</si>
  <si>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</si>
  <si>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</si>
  <si>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</si>
  <si>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2024-06-30</t>
  </si>
  <si>
    <t>2023-06-30</t>
  </si>
  <si>
    <t>2022-06-30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</si>
  <si>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</si>
  <si>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</si>
  <si>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</si>
  <si>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</si>
  <si>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</si>
  <si>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</si>
  <si>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</si>
  <si>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</si>
  <si>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</si>
  <si>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</si>
  <si>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</si>
  <si>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</si>
  <si>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</si>
  <si>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</si>
  <si>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</si>
  <si>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</si>
  <si>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</si>
  <si>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Only 3 year(s) of history available to anchor assumptions on.</t>
  </si>
  <si>
    <t>Adjusted: Free cashflow is negative in at least one forecast year, so terminal value carries most of the valuation.</t>
  </si>
  <si>
    <t>Adjusted: Capital expenditure runs at 59.0% of revenue against depreciation of 20.4%.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</si>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</sst>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0.023897829693259265</v>
      </c>
    </row>
    <row r="7" spans="1:2" x14ac:dyDescent="0.25">
      <c r="A7" t="s">
        <v>5</v>
      </c>
      <c r="B7" s="6">
        <v>0.25427970398647853</v>
      </c>
    </row>
    <row r="8" spans="1:2" x14ac:dyDescent="0.25">
      <c r="A8" t="s">
        <v>6</v>
      </c>
      <c r="B8" s="6">
        <v>0.299354647036493</v>
      </c>
    </row>
    <row r="9" spans="1:2" x14ac:dyDescent="0.25">
      <c r="A9" t="s">
        <v>7</v>
      </c>
      <c r="B9" s="6">
        <v>0.20374651829030901</v>
      </c>
    </row>
    <row r="10" spans="1:2" x14ac:dyDescent="0.25">
      <c r="A10" t="s">
        <v>8</v>
      </c>
      <c r="B10" s="6">
        <v>0.590402925450598</v>
      </c>
    </row>
    <row r="11" spans="1:2" x14ac:dyDescent="0.25">
      <c r="A11" t="s">
        <v>9</v>
      </c>
      <c r="B11" s="6">
        <v>-0.03961345345410201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0.1292734108727575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1.3772099999999998</v>
      </c>
      <c r="C19" s="8" t="s">
        <v>19</v>
      </c>
    </row>
    <row r="20" spans="1:2" x14ac:dyDescent="0.25">
      <c r="A20" t="s">
        <v>20</v>
      </c>
      <c r="B20" s="10">
        <f>B17+B19*B18</f>
        <v>0.13611259999999997</v>
      </c>
    </row>
    <row r="21" spans="1:3" x14ac:dyDescent="0.25">
      <c r="A21" t="s">
        <v>21</v>
      </c>
      <c r="B21" s="6">
        <v>0.07502717217569209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49018000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0.0525674395308916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172991000</v>
      </c>
      <c r="C29" s="8" t="s">
        <v>30</v>
      </c>
    </row>
    <row r="30" spans="1:2" x14ac:dyDescent="0.25">
      <c r="A30" t="s">
        <v>31</v>
      </c>
      <c r="B30" s="11">
        <v>3499000</v>
      </c>
    </row>
    <row r="31" spans="1:2" x14ac:dyDescent="0.25">
      <c r="A31" t="s">
        <v>32</v>
      </c>
      <c r="B31" s="13">
        <v>611660900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0.023897829693259265</v>
      </c>
      <c r="C5" s="10">
        <f>Assumptions!B6</f>
        <v>0.023897829693259265</v>
      </c>
      <c r="D5" s="10">
        <f>Assumptions!B6</f>
        <v>0.023897829693259265</v>
      </c>
      <c r="E5" s="10">
        <f>Assumptions!B6</f>
        <v>0.023897829693259265</v>
      </c>
      <c r="F5" s="10">
        <f>Assumptions!B6</f>
        <v>0.023897829693259265</v>
      </c>
    </row>
    <row r="6" spans="1:6" x14ac:dyDescent="0.25">
      <c r="A6" t="s">
        <v>43</v>
      </c>
      <c r="B6" s="18">
        <f>Assumptions!B29*(1+B5)</f>
        <v>177125109.45646662</v>
      </c>
      <c r="C6" s="18">
        <f>B6*(1+C5)</f>
        <v>181358015.15665716</v>
      </c>
      <c r="D6" s="18">
        <f>C6*(1+D5)</f>
        <v>185692078.1163785</v>
      </c>
      <c r="E6" s="18">
        <f>D6*(1+E5)</f>
        <v>190129715.7745911</v>
      </c>
      <c r="F6" s="18">
        <f>E6*(1+F5)</f>
        <v>194673403.34180006</v>
      </c>
    </row>
    <row r="7" spans="1:6" x14ac:dyDescent="0.25">
      <c r="A7" t="s">
        <v>5</v>
      </c>
      <c r="B7" s="10">
        <f>Assumptions!B7</f>
        <v>0.25427970398647853</v>
      </c>
      <c r="C7" s="10">
        <f>Assumptions!B7</f>
        <v>0.25427970398647853</v>
      </c>
      <c r="D7" s="10">
        <f>Assumptions!B7</f>
        <v>0.25427970398647853</v>
      </c>
      <c r="E7" s="10">
        <f>Assumptions!B7</f>
        <v>0.25427970398647853</v>
      </c>
      <c r="F7" s="10">
        <f>Assumptions!B7</f>
        <v>0.25427970398647853</v>
      </c>
    </row>
    <row r="8" spans="1:6" x14ac:dyDescent="0.25">
      <c r="A8" t="s">
        <v>44</v>
      </c>
      <c r="B8" s="18">
        <f>B6*B7</f>
        <v>45039320.40116294</v>
      </c>
      <c r="C8" s="18">
        <f>C6*C7</f>
        <v>46115662.40961007</v>
      </c>
      <c r="D8" s="18">
        <f>D6*D7</f>
        <v>47217726.65606677</v>
      </c>
      <c r="E8" s="18">
        <f>E6*E7</f>
        <v>48346127.84619632</v>
      </c>
      <c r="F8" s="18">
        <f>F6*F7</f>
        <v>49501495.37579326</v>
      </c>
    </row>
    <row r="9" spans="1:6" x14ac:dyDescent="0.25">
      <c r="A9" t="s">
        <v>45</v>
      </c>
      <c r="B9" s="18">
        <f>B8*(1-Assumptions!B8)</f>
        <v>31556590.53970929</v>
      </c>
      <c r="C9" s="18">
        <f>C8*(1-Assumptions!B8)</f>
        <v>32310724.56612718</v>
      </c>
      <c r="D9" s="18">
        <f>D8*(1-Assumptions!B8)</f>
        <v>33082880.759074297</v>
      </c>
      <c r="E9" s="18">
        <f>E8*(1-Assumptions!B8)</f>
        <v>33873489.80921706</v>
      </c>
      <c r="F9" s="18">
        <f>F8*(1-Assumptions!B8)</f>
        <v>34682992.699794084</v>
      </c>
    </row>
    <row r="10" spans="1:6" x14ac:dyDescent="0.25">
      <c r="A10" t="s">
        <v>46</v>
      </c>
      <c r="B10" s="18">
        <f>B6*Assumptions!B9</f>
        <v>36088624.35354496</v>
      </c>
      <c r="C10" s="18">
        <f>C6*Assumptions!B9</f>
        <v>36951064.15220999</v>
      </c>
      <c r="D10" s="18">
        <f>D6*Assumptions!B9</f>
        <v>37834114.3903042</v>
      </c>
      <c r="E10" s="18">
        <f>E6*Assumptions!B9</f>
        <v>38738267.61259898</v>
      </c>
      <c r="F10" s="18">
        <f>F6*Assumptions!B9</f>
        <v>39664028.13461677</v>
      </c>
    </row>
    <row r="11" spans="1:6" x14ac:dyDescent="0.25">
      <c r="A11" t="s">
        <v>47</v>
      </c>
      <c r="B11" s="18">
        <f>-B6*Assumptions!B10</f>
        <v>-104575182.79385528</v>
      </c>
      <c r="C11" s="18">
        <f>-C6*Assumptions!B10</f>
        <v>-107074302.70240429</v>
      </c>
      <c r="D11" s="18">
        <f>-D6*Assumptions!B10</f>
        <v>-109633146.15291083</v>
      </c>
      <c r="E11" s="18">
        <f>-E6*Assumptions!B10</f>
        <v>-112253140.4084093</v>
      </c>
      <c r="F11" s="18">
        <f>-F6*Assumptions!B10</f>
        <v>-114935746.84042299</v>
      </c>
    </row>
    <row r="12" spans="1:6" x14ac:dyDescent="0.25">
      <c r="A12" t="s">
        <v>48</v>
      </c>
      <c r="B12" s="18">
        <f>-(B6-Assumptions!B29)*Assumptions!B11</f>
        <v>163766.35252790322</v>
      </c>
      <c r="C12" s="18">
        <f>-(C6-B6)*Assumptions!B11</f>
        <v>167680.01293010122</v>
      </c>
      <c r="D12" s="18">
        <f>-(D6-C6)*Assumptions!B11</f>
        <v>171687.20132206837</v>
      </c>
      <c r="E12" s="18">
        <f>-(E6-D6)*Assumptions!B11</f>
        <v>175790.15281977516</v>
      </c>
      <c r="F12" s="18">
        <f>-(F6-E6)*Assumptions!B11</f>
        <v>179991.15595361477</v>
      </c>
    </row>
    <row r="13" spans="1:6" x14ac:dyDescent="0.25">
      <c r="A13" s="19" t="s">
        <v>49</v>
      </c>
      <c r="B13" s="20">
        <f>B9+B10+B11+B12</f>
        <v>-36766201.54807313</v>
      </c>
      <c r="C13" s="20">
        <f>C9+C10+C11+C12</f>
        <v>-37644833.97113701</v>
      </c>
      <c r="D13" s="20">
        <f>D9+D10+D11+D12</f>
        <v>-38544463.802210264</v>
      </c>
      <c r="E13" s="20">
        <f>E9+E10+E11+E12</f>
        <v>-39465592.83377349</v>
      </c>
      <c r="F13" s="20">
        <f>F9+F10+F11+F12</f>
        <v>-40408734.850058526</v>
      </c>
    </row>
    <row r="14" spans="1:6" x14ac:dyDescent="0.25">
      <c r="A14" t="s">
        <v>50</v>
      </c>
      <c r="B14" s="21">
        <f>1/(1+Assumptions!$B$26)^(1-0.5*Assumptions!$B$32)</f>
        <v>0.9747091306388332</v>
      </c>
      <c r="C14" s="21">
        <f>1/(1+Assumptions!$B$26)^(2-0.5*Assumptions!$B$32)</f>
        <v>0.9260300993855954</v>
      </c>
      <c r="D14" s="21">
        <f>1/(1+Assumptions!$B$26)^(3-0.5*Assumptions!$B$32)</f>
        <v>0.8797822016975073</v>
      </c>
      <c r="E14" s="21">
        <f>1/(1+Assumptions!$B$26)^(4-0.5*Assumptions!$B$32)</f>
        <v>0.8358440216330545</v>
      </c>
      <c r="F14" s="21">
        <f>1/(1+Assumptions!$B$26)^(5-0.5*Assumptions!$B$32)</f>
        <v>0.794100207019109</v>
      </c>
    </row>
    <row r="15" spans="1:6" x14ac:dyDescent="0.25">
      <c r="A15" s="19" t="s">
        <v>51</v>
      </c>
      <c r="B15" s="20">
        <f>B13*B14</f>
        <v>-35836352.347814485</v>
      </c>
      <c r="C15" s="20">
        <f>C13*C14</f>
        <v>-34860249.34364624</v>
      </c>
      <c r="D15" s="20">
        <f>D13*D14</f>
        <v>-33910733.22715842</v>
      </c>
      <c r="E15" s="20">
        <f>E13*E14</f>
        <v>-32987079.830313887</v>
      </c>
      <c r="F15" s="20">
        <f>F13*F14</f>
        <v>-32088584.70981176</v>
      </c>
    </row>
    <row r="17" spans="1:2" x14ac:dyDescent="0.25">
      <c r="A17" s="22" t="s">
        <v>52</v>
      </c>
      <c r="B17" s="23">
        <f>SUM(B15:F15)</f>
        <v>-169682999.4587448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-40408734.850058526</v>
      </c>
    </row>
    <row r="5" spans="1:2" x14ac:dyDescent="0.25">
      <c r="A5" t="s">
        <v>56</v>
      </c>
      <c r="B5" s="18">
        <f>IF(Assumptions!$B$33=0,B4,B4-Forecast!F11-Forecast!F10-Forecast!F12)</f>
        <v>34682992.699794084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0.19338856947626487</v>
      </c>
    </row>
    <row r="7" spans="1:2" x14ac:dyDescent="0.25">
      <c r="A7" t="s">
        <v>58</v>
      </c>
      <c r="B7" s="18">
        <f>-MAX(Forecast!F9,0)*B6</f>
        <v>-6707294.343368916</v>
      </c>
    </row>
    <row r="8" spans="1:2" x14ac:dyDescent="0.25">
      <c r="A8" t="s">
        <v>59</v>
      </c>
      <c r="B8" s="18">
        <f>IF(OR(Assumptions!$B$33=0,Assumptions!B12&lt;=0),B5,MAX(B5+B7,0))</f>
        <v>27975698.356425166</v>
      </c>
    </row>
    <row r="9" spans="1:2" x14ac:dyDescent="0.25">
      <c r="A9" t="s">
        <v>60</v>
      </c>
      <c r="B9" s="18">
        <f>B8*(1+Assumptions!B12)/(Assumptions!B26-Assumptions!B12)</f>
        <v>1040179693.9901863</v>
      </c>
    </row>
    <row r="10" spans="1:2" x14ac:dyDescent="0.25">
      <c r="A10" t="s">
        <v>61</v>
      </c>
      <c r="B10" s="18">
        <f>B9/(1+Assumptions!B26)^(5-0.5*Assumptions!B32)</f>
        <v>826006910.3346804</v>
      </c>
    </row>
    <row r="11" spans="1:2" x14ac:dyDescent="0.25">
      <c r="A11" t="s">
        <v>62</v>
      </c>
      <c r="B11" s="18">
        <f>Forecast!B17+B10</f>
        <v>656323910.8759357</v>
      </c>
    </row>
    <row r="12" spans="1:2" x14ac:dyDescent="0.25">
      <c r="A12" t="s">
        <v>63</v>
      </c>
      <c r="B12" s="18">
        <f>-Assumptions!B30</f>
        <v>-3499000</v>
      </c>
    </row>
    <row r="13" spans="1:2" x14ac:dyDescent="0.25">
      <c r="A13" t="s">
        <v>64</v>
      </c>
      <c r="B13" s="18">
        <f>B11+B12</f>
        <v>652824910.8759357</v>
      </c>
    </row>
    <row r="14" spans="1:2" x14ac:dyDescent="0.25">
      <c r="A14" s="19" t="s">
        <v>65</v>
      </c>
      <c r="B14" s="24">
        <f>B13/Assumptions!B31</f>
        <v>1.0672987449025035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89165523.51041004</v>
      </c>
    </row>
    <row r="18" spans="1:2" x14ac:dyDescent="0.25">
      <c r="A18" t="s">
        <v>60</v>
      </c>
      <c r="B18" s="18">
        <f>B17*Assumptions!B13</f>
        <v>713324188.0832803</v>
      </c>
    </row>
    <row r="19" spans="1:2" x14ac:dyDescent="0.25">
      <c r="A19" t="s">
        <v>61</v>
      </c>
      <c r="B19" s="18">
        <f>B18/(1+Assumptions!B26)^(5-0.5*Assumptions!B32)</f>
        <v>566450885.4286708</v>
      </c>
    </row>
    <row r="20" spans="1:2" x14ac:dyDescent="0.25">
      <c r="A20" t="s">
        <v>62</v>
      </c>
      <c r="B20" s="18">
        <f>Forecast!B17+B19</f>
        <v>396767885.969926</v>
      </c>
    </row>
    <row r="21" spans="1:2" x14ac:dyDescent="0.25">
      <c r="A21" t="s">
        <v>63</v>
      </c>
      <c r="B21" s="18">
        <f>-Assumptions!B30</f>
        <v>-3499000</v>
      </c>
    </row>
    <row r="22" spans="1:2" x14ac:dyDescent="0.25">
      <c r="A22" t="s">
        <v>64</v>
      </c>
      <c r="B22" s="18">
        <f>B20+B21</f>
        <v>393268885.969926</v>
      </c>
    </row>
    <row r="23" spans="1:2" x14ac:dyDescent="0.25">
      <c r="A23" s="19" t="s">
        <v>65</v>
      </c>
      <c r="B23" s="25">
        <f>B22/Assumptions!B31</f>
        <v>0.6429524692029946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1.97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1.0672987449025035</v>
      </c>
    </row>
    <row r="29" spans="1:2" x14ac:dyDescent="0.25">
      <c r="A29" s="19" t="s">
        <v>73</v>
      </c>
      <c r="B29" s="12">
        <f>B28/B26-1</f>
        <v>-0.4582239873591353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0.032567</v>
      </c>
      <c r="B5" s="31">
        <v>2.210575561254434</v>
      </c>
      <c r="C5" s="31">
        <v>3.071248084648989</v>
      </c>
      <c r="D5" s="31">
        <v>5.066814117591845</v>
      </c>
      <c r="E5" s="31">
        <v>14.828906945328248</v>
      </c>
      <c r="F5" s="31" t="s">
        <v>76</v>
      </c>
    </row>
    <row r="6" spans="1:6" x14ac:dyDescent="0.25">
      <c r="A6" s="30">
        <v>0.042567</v>
      </c>
      <c r="B6" s="31">
        <v>1.2401451857390424</v>
      </c>
      <c r="C6" s="31">
        <v>1.5061375309251652</v>
      </c>
      <c r="D6" s="31">
        <v>1.9225108886709081</v>
      </c>
      <c r="E6" s="31">
        <v>2.6687603801980684</v>
      </c>
      <c r="F6" s="31">
        <v>4.3987966711233035</v>
      </c>
    </row>
    <row r="7" spans="1:6" x14ac:dyDescent="0.25">
      <c r="A7" s="30">
        <v>0.052567</v>
      </c>
      <c r="B7" s="31">
        <v>0.7922841571172952</v>
      </c>
      <c r="C7" s="31">
        <v>0.9089574555497736</v>
      </c>
      <c r="D7" s="32">
        <v>1.0673225307755878</v>
      </c>
      <c r="E7" s="31">
        <v>1.2950913804860602</v>
      </c>
      <c r="F7" s="31">
        <v>1.651526065207737</v>
      </c>
    </row>
    <row r="8" spans="1:6" x14ac:dyDescent="0.25">
      <c r="A8" s="30">
        <v>0.062567</v>
      </c>
      <c r="B8" s="31">
        <v>0.5371327260297122</v>
      </c>
      <c r="C8" s="31">
        <v>0.5972280378616409</v>
      </c>
      <c r="D8" s="31">
        <v>0.6728759052657726</v>
      </c>
      <c r="E8" s="31">
        <v>0.7712396633231127</v>
      </c>
      <c r="F8" s="31">
        <v>0.9046796834849644</v>
      </c>
    </row>
    <row r="9" spans="1:6" x14ac:dyDescent="0.25">
      <c r="A9" s="30">
        <v>0.072567</v>
      </c>
      <c r="B9" s="31">
        <v>0.3740476869510354</v>
      </c>
      <c r="C9" s="31">
        <v>0.40780859712602363</v>
      </c>
      <c r="D9" s="31">
        <v>0.4483306599668899</v>
      </c>
      <c r="E9" s="31">
        <v>0.49799640865633954</v>
      </c>
      <c r="F9" s="31">
        <v>0.5604567945008037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5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33" t="s">
        <v>83</v>
      </c>
    </row>
    <row r="5" spans="1:5" x14ac:dyDescent="0.25">
      <c r="A5" t="s">
        <v>43</v>
      </c>
      <c r="B5" s="18">
        <v>172991000</v>
      </c>
      <c r="C5" s="18">
        <v>190527000</v>
      </c>
      <c r="D5" s="18">
        <v>165010000</v>
      </c>
      <c r="E5" s="8" t="s">
        <v>84</v>
      </c>
    </row>
    <row r="6" spans="1:5" x14ac:dyDescent="0.25">
      <c r="A6" t="s">
        <v>44</v>
      </c>
      <c r="B6" s="18">
        <v>23643000</v>
      </c>
      <c r="C6" s="18">
        <v>58816000</v>
      </c>
      <c r="D6" s="18">
        <v>52385000</v>
      </c>
      <c r="E6" s="8" t="s">
        <v>85</v>
      </c>
    </row>
    <row r="7" spans="1:5" x14ac:dyDescent="0.25">
      <c r="A7" t="s">
        <v>86</v>
      </c>
      <c r="B7" s="18">
        <v>36143000</v>
      </c>
      <c r="C7" s="18">
        <v>36108000</v>
      </c>
      <c r="D7" s="18">
        <v>35113000</v>
      </c>
      <c r="E7" s="8" t="s">
        <v>87</v>
      </c>
    </row>
    <row r="8" spans="1:5" x14ac:dyDescent="0.25">
      <c r="A8" t="s">
        <v>88</v>
      </c>
      <c r="B8" s="18">
        <v>135497000</v>
      </c>
      <c r="C8" s="18">
        <v>91800000</v>
      </c>
      <c r="D8" s="18">
        <v>83516000</v>
      </c>
      <c r="E8" s="8" t="s">
        <v>89</v>
      </c>
    </row>
    <row r="9" spans="1:5" x14ac:dyDescent="0.25">
      <c r="A9" t="s">
        <v>90</v>
      </c>
      <c r="B9" s="18">
        <v>1100000</v>
      </c>
      <c r="C9" s="18">
        <v>-421000</v>
      </c>
      <c r="D9" s="18">
        <v>0</v>
      </c>
      <c r="E9" s="8" t="s">
        <v>91</v>
      </c>
    </row>
    <row r="10" spans="1:5" x14ac:dyDescent="0.25">
      <c r="A10" t="s">
        <v>92</v>
      </c>
      <c r="B10" s="18">
        <v>49018000</v>
      </c>
      <c r="C10" s="18">
        <v>13546000</v>
      </c>
      <c r="D10" s="18">
        <v>15046000</v>
      </c>
      <c r="E10" s="8" t="s">
        <v>93</v>
      </c>
    </row>
    <row r="11" spans="1:5" x14ac:dyDescent="0.25">
      <c r="A11" t="s">
        <v>94</v>
      </c>
      <c r="B11" s="18">
        <v>45519000</v>
      </c>
      <c r="C11" s="18">
        <v>80291000</v>
      </c>
      <c r="D11" s="18">
        <v>77894000</v>
      </c>
      <c r="E11" s="8" t="s">
        <v>95</v>
      </c>
    </row>
    <row r="12" spans="1:5" x14ac:dyDescent="0.25">
      <c r="A12" t="s">
        <v>32</v>
      </c>
      <c r="B12" s="34">
        <v>611660900</v>
      </c>
      <c r="C12" s="34">
        <v>606428571</v>
      </c>
      <c r="D12" s="34">
        <v>603530928</v>
      </c>
      <c r="E12" s="8" t="s">
        <v>96</v>
      </c>
    </row>
    <row r="15" spans="1:1" x14ac:dyDescent="0.25">
      <c r="A15" s="19" t="s">
        <v>97</v>
      </c>
    </row>
    <row r="16" ht="70" customHeight="1" spans="1:5" x14ac:dyDescent="0.25">
      <c r="A16" s="35" t="s">
        <v>98</v>
      </c>
      <c r="B16" s="35"/>
      <c r="C16" s="35"/>
      <c r="D16" s="35"/>
      <c r="E16" s="35"/>
    </row>
    <row r="17" ht="22" customHeight="1" spans="1:5" x14ac:dyDescent="0.25">
      <c r="A17" s="35" t="s">
        <v>99</v>
      </c>
      <c r="B17" s="35"/>
      <c r="C17" s="35"/>
      <c r="D17" s="35"/>
      <c r="E17" s="35"/>
    </row>
    <row r="18" ht="22" customHeight="1" spans="1:5" x14ac:dyDescent="0.25">
      <c r="A18" s="35" t="s">
        <v>100</v>
      </c>
      <c r="B18" s="35"/>
      <c r="C18" s="35"/>
      <c r="D18" s="35"/>
      <c r="E18" s="35"/>
    </row>
    <row r="19" ht="22" customHeight="1" spans="1:5" x14ac:dyDescent="0.25">
      <c r="A19" s="35" t="s">
        <v>101</v>
      </c>
      <c r="B19" s="35"/>
      <c r="C19" s="35"/>
      <c r="D19" s="35"/>
      <c r="E19" s="35"/>
    </row>
    <row r="20" ht="54" customHeight="1" spans="1:5" x14ac:dyDescent="0.25">
      <c r="A20" s="35" t="s">
        <v>102</v>
      </c>
      <c r="B20" s="35"/>
      <c r="C20" s="35"/>
      <c r="D20" s="35"/>
      <c r="E20" s="35"/>
    </row>
    <row r="21" ht="22" customHeight="1" spans="1:5" x14ac:dyDescent="0.25">
      <c r="A21" s="35" t="s">
        <v>103</v>
      </c>
      <c r="B21" s="35"/>
      <c r="C21" s="35"/>
      <c r="D21" s="35"/>
      <c r="E21" s="35"/>
    </row>
    <row r="23" spans="1:1" x14ac:dyDescent="0.25">
      <c r="A23" s="36" t="s">
        <v>104</v>
      </c>
    </row>
  </sheetData>
  <mergeCells count="6">
    <mergeCell ref="A16:E16"/>
    <mergeCell ref="A17:E17"/>
    <mergeCell ref="A18:E18"/>
    <mergeCell ref="A19:E19"/>
    <mergeCell ref="A20:E20"/>
    <mergeCell ref="A21:E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2026-09-19T00:06:20Z</dcterms:modified>
</cp:coreProperties>
</file>