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<sst xmlns="http://schemas.openxmlformats.org/spreadsheetml/2006/main" count="113" uniqueCount="101">
  <si>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Allstate Corporation (ALL)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</si>
  <si>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</si>
  <si>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</si>
  <si>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</si>
  <si>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</si>
  <si>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</si>
  <si>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</si>
  <si>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</si>
  <si>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</si>
  <si>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</si>
  <si>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</si>
  <si>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</si>
  <si>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</si>
  <si>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</si>
  <si>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</si>
  <si>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</si>
  <si>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</si>
  <si>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</si>
  <si>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</si>
  <si>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</si>
  <si>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</si>
  <si>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</si>
  <si>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</si>
  <si>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</si>
  <si>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</si>
  <si>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</si>
  <si>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</si>
  <si>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</si>
  <si>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</si>
  <si>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</si>
  <si>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</si>
  <si>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</si>
  <si>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</si>
  <si>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</si>
  <si>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</si>
  <si>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</si>
  <si>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</si>
  <si>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</si>
  <si>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</si>
  <si>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</si>
  <si>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</si>
  <si>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</si>
  <si>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</si>
  <si>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</si>
  <si>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</si>
  <si>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</si>
  <si>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</si>
  <si>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</si>
  <si>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</si>
  <si>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</si>
  <si>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</si>
  <si>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</si>
  <si>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</si>
  <si>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</si>
  <si>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</si>
  <si>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</si>
  <si>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</si>
  <si>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</si>
  <si>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</si>
  <si>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</si>
  <si>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</si>
  <si>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</si>
  <si>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</si>
  <si>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</si>
  <si>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</si>
  <si>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</si>
  <si>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</si>
  <si>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</si>
  <si>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</si>
  <si>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</si>
  <si>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</si>
  <si>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</si>
  <si>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</si>
  <si>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</si>
  <si>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</si>
  <si>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</si>
  <si>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</si>
  <si>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</si>
  <si>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</si>
  <si>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</si>
  <si>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</si>
  <si>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</si>
  <si>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</si>
  <si>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</si>
  <si>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</si>
  <si>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</si>
  <si>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</si>
  <si>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</si>
  <si>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</si>
  <si>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</si>
  <si>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</si>
  <si>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</si>
  <si>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</si>
  <si>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</si>
  <si>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</si>
  <si>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</si>
  <si>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</si>
  <si>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</si>
  <si>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</si>
  <si>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0.49% of revenue, which is too low to be the company's real investment - property trusts and similar structures invest through lines that are not reported as capex. Capex has been set to 1.13%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</si>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</sst>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0.09835266933147047</v>
      </c>
    </row>
    <row r="7" spans="1:2" x14ac:dyDescent="0.25">
      <c r="A7" t="s">
        <v>5</v>
      </c>
      <c r="B7" s="6">
        <v>0.061138982958358956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0.011274592805762339</v>
      </c>
    </row>
    <row r="10" spans="1:2" x14ac:dyDescent="0.25">
      <c r="A10" t="s">
        <v>8</v>
      </c>
      <c r="B10" s="6">
        <v>0.011274592805762339</v>
      </c>
    </row>
    <row r="11" spans="1:2" x14ac:dyDescent="0.25">
      <c r="A11" t="s">
        <v>9</v>
      </c>
      <c r="B11" s="6">
        <v>-0.5183419988445985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4.773170705382021</v>
      </c>
    </row>
    <row r="14" spans="1:3" x14ac:dyDescent="0.25">
      <c r="A14" t="s">
        <v>12</v>
      </c>
      <c r="B14" s="6">
        <v>0.22662542784180756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0.4305</v>
      </c>
      <c r="C19" s="8" t="s">
        <v>19</v>
      </c>
    </row>
    <row r="20" spans="1:2" x14ac:dyDescent="0.25">
      <c r="A20" t="s">
        <v>20</v>
      </c>
      <c r="B20" s="10">
        <f>B17+B19*B18</f>
        <v>0.0736575</v>
      </c>
    </row>
    <row r="21" spans="1:3" x14ac:dyDescent="0.25">
      <c r="A21" t="s">
        <v>21</v>
      </c>
      <c r="B21" s="6">
        <v>0.051235955056179776</v>
      </c>
      <c r="C21" s="8" t="s">
        <v>22</v>
      </c>
    </row>
    <row r="22" spans="1:2" x14ac:dyDescent="0.25">
      <c r="A22" t="s">
        <v>23</v>
      </c>
      <c r="B22" s="11">
        <v>63171502080</v>
      </c>
    </row>
    <row r="23" spans="1:2" x14ac:dyDescent="0.25">
      <c r="A23" t="s">
        <v>24</v>
      </c>
      <c r="B23" s="11">
        <v>7490000000</v>
      </c>
    </row>
    <row r="24" spans="1:2" x14ac:dyDescent="0.25">
      <c r="A24" t="s">
        <v>25</v>
      </c>
      <c r="B24" s="10">
        <f>B22/(B22+B23)</f>
        <v>0.8940016872055715</v>
      </c>
    </row>
    <row r="25" spans="1:2" x14ac:dyDescent="0.25">
      <c r="A25" t="s">
        <v>26</v>
      </c>
      <c r="B25" s="10">
        <f>1-B24</f>
        <v>0.1059983127944285</v>
      </c>
    </row>
    <row r="26" spans="1:2" x14ac:dyDescent="0.25">
      <c r="A26" t="s">
        <v>27</v>
      </c>
      <c r="B26" s="12">
        <f>B24*B20+B25*B21*(1-B8)</f>
        <v>0.0701403598597337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67069000000</v>
      </c>
      <c r="C29" s="8" t="s">
        <v>30</v>
      </c>
    </row>
    <row r="30" spans="1:2" x14ac:dyDescent="0.25">
      <c r="A30" t="s">
        <v>31</v>
      </c>
      <c r="B30" s="11">
        <v>1925000000</v>
      </c>
    </row>
    <row r="31" spans="1:2" x14ac:dyDescent="0.25">
      <c r="A31" t="s">
        <v>32</v>
      </c>
      <c r="B31" s="13">
        <v>267100000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0.09835266933147047</v>
      </c>
      <c r="C5" s="10">
        <f>Assumptions!B6</f>
        <v>0.09835266933147047</v>
      </c>
      <c r="D5" s="10">
        <f>Assumptions!B6</f>
        <v>0.09835266933147047</v>
      </c>
      <c r="E5" s="10">
        <f>Assumptions!B6</f>
        <v>0.09835266933147047</v>
      </c>
      <c r="F5" s="10">
        <f>Assumptions!B6</f>
        <v>0.09835266933147047</v>
      </c>
    </row>
    <row r="6" spans="1:6" x14ac:dyDescent="0.25">
      <c r="A6" t="s">
        <v>43</v>
      </c>
      <c r="B6" s="18">
        <f>Assumptions!B29*(1+B5)</f>
        <v>73665415179.3924</v>
      </c>
      <c r="C6" s="18">
        <f>B6*(1+C5)</f>
        <v>80910605399.69666</v>
      </c>
      <c r="D6" s="18">
        <f>C6*(1+D5)</f>
        <v>88868379417.98212</v>
      </c>
      <c r="E6" s="18">
        <f>D6*(1+E5)</f>
        <v>97608821752.90257</v>
      </c>
      <c r="F6" s="18">
        <f>E6*(1+F5)</f>
        <v>107208909922.60023</v>
      </c>
    </row>
    <row r="7" spans="1:6" x14ac:dyDescent="0.25">
      <c r="A7" t="s">
        <v>5</v>
      </c>
      <c r="B7" s="10">
        <f>Assumptions!B7</f>
        <v>0.061138982958358956</v>
      </c>
      <c r="C7" s="10">
        <f>Assumptions!B7</f>
        <v>0.061138982958358956</v>
      </c>
      <c r="D7" s="10">
        <f>Assumptions!B7</f>
        <v>0.061138982958358956</v>
      </c>
      <c r="E7" s="10">
        <f>Assumptions!B7</f>
        <v>0.061138982958358956</v>
      </c>
      <c r="F7" s="10">
        <f>Assumptions!B7</f>
        <v>0.061138982958358956</v>
      </c>
    </row>
    <row r="8" spans="1:6" x14ac:dyDescent="0.25">
      <c r="A8" t="s">
        <v>44</v>
      </c>
      <c r="B8" s="18">
        <f>B6*B7</f>
        <v>4503828563.273309</v>
      </c>
      <c r="C8" s="18">
        <f>C6*C7</f>
        <v>4946792124.68256</v>
      </c>
      <c r="D8" s="18">
        <f>D6*D7</f>
        <v>5433322334.772986</v>
      </c>
      <c r="E8" s="18">
        <f>E6*E7</f>
        <v>5967704089.736207</v>
      </c>
      <c r="F8" s="18">
        <f>F6*F7</f>
        <v>6554643716.742096</v>
      </c>
    </row>
    <row r="9" spans="1:6" x14ac:dyDescent="0.25">
      <c r="A9" t="s">
        <v>45</v>
      </c>
      <c r="B9" s="18">
        <f>B8*(1-Assumptions!B8)</f>
        <v>3558024564.985914</v>
      </c>
      <c r="C9" s="18">
        <f>C8*(1-Assumptions!B8)</f>
        <v>3907965778.4992228</v>
      </c>
      <c r="D9" s="18">
        <f>D8*(1-Assumptions!B8)</f>
        <v>4292324644.4706593</v>
      </c>
      <c r="E9" s="18">
        <f>E8*(1-Assumptions!B8)</f>
        <v>4714486230.891603</v>
      </c>
      <c r="F9" s="18">
        <f>F8*(1-Assumptions!B8)</f>
        <v>5178168536.226256</v>
      </c>
    </row>
    <row r="10" spans="1:6" x14ac:dyDescent="0.25">
      <c r="A10" t="s">
        <v>46</v>
      </c>
      <c r="B10" s="18">
        <f>B6*Assumptions!B9</f>
        <v>830547560.0150733</v>
      </c>
      <c r="C10" s="18">
        <f>C6*Assumptions!B9</f>
        <v>912234129.5492953</v>
      </c>
      <c r="D10" s="18">
        <f>D6*Assumptions!B9</f>
        <v>1001954791.2457391</v>
      </c>
      <c r="E10" s="18">
        <f>E6*Assumptions!B9</f>
        <v>1100499719.5142138</v>
      </c>
      <c r="F10" s="18">
        <f>F6*Assumptions!B9</f>
        <v>1208736804.5269713</v>
      </c>
    </row>
    <row r="11" spans="1:6" x14ac:dyDescent="0.25">
      <c r="A11" t="s">
        <v>47</v>
      </c>
      <c r="B11" s="18">
        <f>-B6*Assumptions!B10</f>
        <v>-830547560.0150733</v>
      </c>
      <c r="C11" s="18">
        <f>-C6*Assumptions!B10</f>
        <v>-912234129.5492953</v>
      </c>
      <c r="D11" s="18">
        <f>-D6*Assumptions!B10</f>
        <v>-1001954791.2457391</v>
      </c>
      <c r="E11" s="18">
        <f>-E6*Assumptions!B10</f>
        <v>-1100499719.5142138</v>
      </c>
      <c r="F11" s="18">
        <f>-F6*Assumptions!B10</f>
        <v>-1208736804.5269713</v>
      </c>
    </row>
    <row r="12" spans="1:6" x14ac:dyDescent="0.25">
      <c r="A12" t="s">
        <v>48</v>
      </c>
      <c r="B12" s="18">
        <f>-(B6-Assumptions!B29)*Assumptions!B11</f>
        <v>3419199029.295105</v>
      </c>
      <c r="C12" s="18">
        <f>-(C6-B6)*Assumptions!B11</f>
        <v>3755486380.8018475</v>
      </c>
      <c r="D12" s="18">
        <f>-(D6-C6)*Assumptions!B11</f>
        <v>4124848490.9916987</v>
      </c>
      <c r="E12" s="18">
        <f>-(E6-D6)*Assumptions!B11</f>
        <v>4530538350.668619</v>
      </c>
      <c r="F12" s="18">
        <f>-(F6-E6)*Assumptions!B11</f>
        <v>4976128890.965469</v>
      </c>
    </row>
    <row r="13" spans="1:6" x14ac:dyDescent="0.25">
      <c r="A13" s="19" t="s">
        <v>49</v>
      </c>
      <c r="B13" s="20">
        <f>B9+B10+B11+B12</f>
        <v>6977223594.281019</v>
      </c>
      <c r="C13" s="20">
        <f>C9+C10+C11+C12</f>
        <v>7663452159.30107</v>
      </c>
      <c r="D13" s="20">
        <f>D9+D10+D11+D12</f>
        <v>8417173135.462358</v>
      </c>
      <c r="E13" s="20">
        <f>E9+E10+E11+E12</f>
        <v>9245024581.560223</v>
      </c>
      <c r="F13" s="20">
        <f>F9+F10+F11+F12</f>
        <v>10154297427.191725</v>
      </c>
    </row>
    <row r="14" spans="1:6" x14ac:dyDescent="0.25">
      <c r="A14" t="s">
        <v>50</v>
      </c>
      <c r="B14" s="21">
        <f>1/(1+Assumptions!$B$26)^(1-0.5*Assumptions!$B$32)</f>
        <v>0.9666730882747464</v>
      </c>
      <c r="C14" s="21">
        <f>1/(1+Assumptions!$B$26)^(2-0.5*Assumptions!$B$32)</f>
        <v>0.9033142983238677</v>
      </c>
      <c r="D14" s="21">
        <f>1/(1+Assumptions!$B$26)^(3-0.5*Assumptions!$B$32)</f>
        <v>0.8441082424386531</v>
      </c>
      <c r="E14" s="21">
        <f>1/(1+Assumptions!$B$26)^(4-0.5*Assumptions!$B$32)</f>
        <v>0.7887827373871711</v>
      </c>
      <c r="F14" s="21">
        <f>1/(1+Assumptions!$B$26)^(5-0.5*Assumptions!$B$32)</f>
        <v>0.7370834396812761</v>
      </c>
    </row>
    <row r="15" spans="1:6" x14ac:dyDescent="0.25">
      <c r="A15" s="19" t="s">
        <v>51</v>
      </c>
      <c r="B15" s="20">
        <f>B13*B14</f>
        <v>6744694279.467059</v>
      </c>
      <c r="C15" s="20">
        <f>C13*C14</f>
        <v>6922505910.017575</v>
      </c>
      <c r="D15" s="20">
        <f>D13*D14</f>
        <v>7105005221.676978</v>
      </c>
      <c r="E15" s="20">
        <f>E13*E14</f>
        <v>7292315796.654758</v>
      </c>
      <c r="F15" s="20">
        <f>F13*F14</f>
        <v>7484564475.181209</v>
      </c>
    </row>
    <row r="17" spans="1:2" x14ac:dyDescent="0.25">
      <c r="A17" s="22" t="s">
        <v>52</v>
      </c>
      <c r="B17" s="23">
        <f>SUM(B15:F15)</f>
        <v>35549085682.99758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10154297427.191725</v>
      </c>
    </row>
    <row r="5" spans="1:2" x14ac:dyDescent="0.25">
      <c r="A5" t="s">
        <v>56</v>
      </c>
      <c r="B5" s="18">
        <f>IF(Assumptions!$B$33=0,B4,B4-Forecast!F11-Forecast!F10-Forecast!F12)</f>
        <v>5178168536.226256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0.11031418776824493</v>
      </c>
    </row>
    <row r="7" spans="1:2" x14ac:dyDescent="0.25">
      <c r="A7" t="s">
        <v>58</v>
      </c>
      <c r="B7" s="18">
        <f>-MAX(Forecast!F9,0)*B6</f>
        <v>-571225456.2008812</v>
      </c>
    </row>
    <row r="8" spans="1:2" x14ac:dyDescent="0.25">
      <c r="A8" t="s">
        <v>59</v>
      </c>
      <c r="B8" s="18">
        <f>IF(OR(Assumptions!$B$33=0,Assumptions!B12&lt;=0),B5,MAX(B5+B7,0))</f>
        <v>4606943080.025375</v>
      </c>
    </row>
    <row r="9" spans="1:2" x14ac:dyDescent="0.25">
      <c r="A9" t="s">
        <v>60</v>
      </c>
      <c r="B9" s="18">
        <f>B8*(1+Assumptions!B12)/(Assumptions!B26-Assumptions!B12)</f>
        <v>104609636956.79912</v>
      </c>
    </row>
    <row r="10" spans="1:2" x14ac:dyDescent="0.25">
      <c r="A10" t="s">
        <v>61</v>
      </c>
      <c r="B10" s="18">
        <f>B9/(1+Assumptions!B26)^(5-0.5*Assumptions!B32)</f>
        <v>77106031031.92703</v>
      </c>
    </row>
    <row r="11" spans="1:2" x14ac:dyDescent="0.25">
      <c r="A11" t="s">
        <v>62</v>
      </c>
      <c r="B11" s="18">
        <f>Forecast!B17+B10</f>
        <v>112655116714.92462</v>
      </c>
    </row>
    <row r="12" spans="1:2" x14ac:dyDescent="0.25">
      <c r="A12" t="s">
        <v>63</v>
      </c>
      <c r="B12" s="18">
        <f>-Assumptions!B30</f>
        <v>-1925000000</v>
      </c>
    </row>
    <row r="13" spans="1:2" x14ac:dyDescent="0.25">
      <c r="A13" t="s">
        <v>64</v>
      </c>
      <c r="B13" s="18">
        <f>B11+B12</f>
        <v>110730116714.92462</v>
      </c>
    </row>
    <row r="14" spans="1:2" x14ac:dyDescent="0.25">
      <c r="A14" s="19" t="s">
        <v>65</v>
      </c>
      <c r="B14" s="24">
        <f>B13/Assumptions!B31</f>
        <v>414.56427074101316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7763380521.269068</v>
      </c>
    </row>
    <row r="18" spans="1:2" x14ac:dyDescent="0.25">
      <c r="A18" t="s">
        <v>60</v>
      </c>
      <c r="B18" s="18">
        <f>B17*Assumptions!B13</f>
        <v>37055940478.85492</v>
      </c>
    </row>
    <row r="19" spans="1:2" x14ac:dyDescent="0.25">
      <c r="A19" t="s">
        <v>61</v>
      </c>
      <c r="B19" s="18">
        <f>B18/(1+Assumptions!B26)^(5-0.5*Assumptions!B32)</f>
        <v>27313320068.77902</v>
      </c>
    </row>
    <row r="20" spans="1:2" x14ac:dyDescent="0.25">
      <c r="A20" t="s">
        <v>62</v>
      </c>
      <c r="B20" s="18">
        <f>Forecast!B17+B19</f>
        <v>62862405751.776596</v>
      </c>
    </row>
    <row r="21" spans="1:2" x14ac:dyDescent="0.25">
      <c r="A21" t="s">
        <v>63</v>
      </c>
      <c r="B21" s="18">
        <f>-Assumptions!B30</f>
        <v>-1925000000</v>
      </c>
    </row>
    <row r="22" spans="1:2" x14ac:dyDescent="0.25">
      <c r="A22" t="s">
        <v>64</v>
      </c>
      <c r="B22" s="18">
        <f>B20+B21</f>
        <v>60937405751.776596</v>
      </c>
    </row>
    <row r="23" spans="1:2" x14ac:dyDescent="0.25">
      <c r="A23" s="19" t="s">
        <v>65</v>
      </c>
      <c r="B23" s="25">
        <f>B22/Assumptions!B31</f>
        <v>228.14453669702957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249.83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414.56427074101316</v>
      </c>
    </row>
    <row r="29" spans="1:2" x14ac:dyDescent="0.25">
      <c r="A29" s="19" t="s">
        <v>73</v>
      </c>
      <c r="B29" s="12">
        <f>B28/B26-1</f>
        <v>0.6593854650803073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0.05014</v>
      </c>
      <c r="B5" s="31">
        <v>552.0789048250791</v>
      </c>
      <c r="C5" s="31">
        <v>612.4789239794794</v>
      </c>
      <c r="D5" s="31">
        <v>696.7678914282137</v>
      </c>
      <c r="E5" s="31">
        <v>822.7379732296247</v>
      </c>
      <c r="F5" s="31">
        <v>1031.6848573156908</v>
      </c>
    </row>
    <row r="6" spans="1:6" x14ac:dyDescent="0.25">
      <c r="A6" s="30">
        <v>0.06014</v>
      </c>
      <c r="B6" s="31">
        <v>442.11600117375826</v>
      </c>
      <c r="C6" s="31">
        <v>474.48024091926976</v>
      </c>
      <c r="D6" s="31">
        <v>515.9609764044861</v>
      </c>
      <c r="E6" s="31">
        <v>571.0952824832751</v>
      </c>
      <c r="F6" s="31">
        <v>648.0296809895106</v>
      </c>
    </row>
    <row r="7" spans="1:6" x14ac:dyDescent="0.25">
      <c r="A7" s="30">
        <v>0.07014</v>
      </c>
      <c r="B7" s="31">
        <v>371.5139984833883</v>
      </c>
      <c r="C7" s="31">
        <v>390.9253540488494</v>
      </c>
      <c r="D7" s="32">
        <v>414.567123167992</v>
      </c>
      <c r="E7" s="31">
        <v>444.02017787134</v>
      </c>
      <c r="F7" s="31">
        <v>481.76514660974937</v>
      </c>
    </row>
    <row r="8" spans="1:6" x14ac:dyDescent="0.25">
      <c r="A8" s="30">
        <v>0.08014</v>
      </c>
      <c r="B8" s="31">
        <v>322.17253433213614</v>
      </c>
      <c r="C8" s="31">
        <v>334.6863156867627</v>
      </c>
      <c r="D8" s="31">
        <v>349.41472089038507</v>
      </c>
      <c r="E8" s="31">
        <v>367.02028200792023</v>
      </c>
      <c r="F8" s="31">
        <v>388.4590765473142</v>
      </c>
    </row>
    <row r="9" spans="1:6" x14ac:dyDescent="0.25">
      <c r="A9" s="30">
        <v>0.09014</v>
      </c>
      <c r="B9" s="31">
        <v>285.6251510465115</v>
      </c>
      <c r="C9" s="31">
        <v>294.1041046432573</v>
      </c>
      <c r="D9" s="31">
        <v>303.84017980438006</v>
      </c>
      <c r="E9" s="31">
        <v>315.14692530716087</v>
      </c>
      <c r="F9" s="31">
        <v>328.4516181759894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67069000000</v>
      </c>
      <c r="C5" s="18">
        <v>63515000000</v>
      </c>
      <c r="D5" s="18">
        <v>56591000000</v>
      </c>
      <c r="E5" s="18">
        <v>50617000000</v>
      </c>
      <c r="F5" s="8" t="s">
        <v>84</v>
      </c>
    </row>
    <row r="6" spans="1:6" x14ac:dyDescent="0.25">
      <c r="A6" t="s">
        <v>44</v>
      </c>
      <c r="B6" s="18">
        <v>13156000000</v>
      </c>
      <c r="C6" s="18">
        <v>5761000000</v>
      </c>
      <c r="D6" s="18">
        <v>-348000000</v>
      </c>
      <c r="E6" s="18">
        <v>-1830000000</v>
      </c>
      <c r="F6" s="8" t="s">
        <v>85</v>
      </c>
    </row>
    <row r="7" spans="1:6" x14ac:dyDescent="0.25">
      <c r="A7" t="s">
        <v>86</v>
      </c>
      <c r="B7" s="18">
        <v>482000000</v>
      </c>
      <c r="C7" s="18">
        <v>555000000</v>
      </c>
      <c r="D7" s="18">
        <v>704000000</v>
      </c>
      <c r="E7" s="18">
        <v>847000000</v>
      </c>
      <c r="F7" s="8" t="s">
        <v>87</v>
      </c>
    </row>
    <row r="8" spans="1:6" x14ac:dyDescent="0.25">
      <c r="A8" t="s">
        <v>88</v>
      </c>
      <c r="B8" s="18">
        <v>228000000</v>
      </c>
      <c r="C8" s="18">
        <v>210000000</v>
      </c>
      <c r="D8" s="18">
        <v>267000000</v>
      </c>
      <c r="E8" s="18">
        <v>420000000</v>
      </c>
      <c r="F8" s="8" t="s">
        <v>89</v>
      </c>
    </row>
    <row r="9" spans="1:6" x14ac:dyDescent="0.25">
      <c r="A9" t="s">
        <v>90</v>
      </c>
      <c r="B9" s="18">
        <v>-832000000</v>
      </c>
      <c r="C9" s="18">
        <v>-3589000000</v>
      </c>
      <c r="D9" s="18">
        <v>-3428000000</v>
      </c>
      <c r="E9" s="18">
        <v>-4428000000</v>
      </c>
      <c r="F9" s="8" t="s">
        <v>91</v>
      </c>
    </row>
    <row r="10" spans="1:6" x14ac:dyDescent="0.25">
      <c r="A10" t="s">
        <v>92</v>
      </c>
      <c r="B10" s="18">
        <v>7490000000</v>
      </c>
      <c r="C10" s="18">
        <v>8085000000</v>
      </c>
      <c r="D10" s="18">
        <v>7942000000</v>
      </c>
      <c r="E10" s="18">
        <v>7964000000</v>
      </c>
      <c r="F10" s="8" t="s">
        <v>93</v>
      </c>
    </row>
    <row r="11" spans="1:6" x14ac:dyDescent="0.25">
      <c r="A11" t="s">
        <v>94</v>
      </c>
      <c r="B11" s="18">
        <v>5565000000</v>
      </c>
      <c r="C11" s="18">
        <v>5241000000</v>
      </c>
      <c r="D11" s="18">
        <v>5866000000</v>
      </c>
      <c r="E11" s="18">
        <v>4909000000</v>
      </c>
      <c r="F11" s="8" t="s">
        <v>95</v>
      </c>
    </row>
    <row r="12" spans="1:6" x14ac:dyDescent="0.25">
      <c r="A12" t="s">
        <v>32</v>
      </c>
      <c r="B12" s="34">
        <v>267100000</v>
      </c>
      <c r="C12" s="34">
        <v>267800000</v>
      </c>
      <c r="D12" s="34">
        <v>262500000</v>
      </c>
      <c r="E12" s="34">
        <v>271200000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2026-09-19T01:04:46Z</dcterms:modified>
</cp:coreProperties>
</file>