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<sst xmlns="http://schemas.openxmlformats.org/spreadsheetml/2006/main" count="112" uniqueCount="100">
  <si>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Aristocrat Leisure Limited (ALL.AX)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</si>
  <si>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</si>
  <si>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</si>
  <si>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</si>
  <si>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</si>
  <si>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</si>
  <si>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</si>
  <si>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</si>
  <si>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</si>
  <si>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</si>
  <si>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</si>
  <si>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</si>
  <si>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</si>
  <si>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</si>
  <si>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</si>
  <si>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</si>
  <si>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</si>
  <si>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</si>
  <si>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</si>
  <si>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</si>
  <si>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</si>
  <si>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</si>
  <si>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</si>
  <si>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</si>
  <si>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</si>
  <si>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</si>
  <si>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</si>
  <si>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</si>
  <si>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</si>
  <si>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</si>
  <si>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2025-09-30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</si>
  <si>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</si>
  <si>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</si>
  <si>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</si>
  <si>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</si>
  <si>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</si>
  <si>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</si>
  <si>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</si>
  <si>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</si>
  <si>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</si>
  <si>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</si>
  <si>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</si>
  <si>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</si>
  <si>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</si>
  <si>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</si>
  <si>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</si>
  <si>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</si>
  <si>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</si>
  <si>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</si>
  <si>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</si>
  <si>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</si>
  <si>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</si>
  <si>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</si>
  <si>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</si>
  <si>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</si>
  <si>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</si>
  <si>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</si>
  <si>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</si>
  <si>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</si>
  <si>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</si>
  <si>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</si>
  <si>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</si>
  <si>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</si>
  <si>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</si>
  <si>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</si>
  <si>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</si>
  <si>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</si>
  <si>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</si>
  <si>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</si>
  <si>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</si>
  <si>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</si>
  <si>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</si>
  <si>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</si>
  <si>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</si>
  <si>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</si>
  <si>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</si>
  <si>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</si>
  <si>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</si>
  <si>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</si>
  <si>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2025-09-30</t>
  </si>
  <si>
    <t>2024-09-30</t>
  </si>
  <si>
    <t>2023-09-30</t>
  </si>
  <si>
    <t>2022-09-30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</si>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</sst>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0.04150981724326552</v>
      </c>
    </row>
    <row r="7" spans="1:2" x14ac:dyDescent="0.25">
      <c r="A7" t="s">
        <v>5</v>
      </c>
      <c r="B7" s="6">
        <v>0.21053982584729675</v>
      </c>
    </row>
    <row r="8" spans="1:2" x14ac:dyDescent="0.25">
      <c r="A8" t="s">
        <v>6</v>
      </c>
      <c r="B8" s="6">
        <v>0.23670155831401649</v>
      </c>
    </row>
    <row r="9" spans="1:2" x14ac:dyDescent="0.25">
      <c r="A9" t="s">
        <v>7</v>
      </c>
      <c r="B9" s="6">
        <v>0.09101236936805772</v>
      </c>
    </row>
    <row r="10" spans="1:2" x14ac:dyDescent="0.25">
      <c r="A10" t="s">
        <v>8</v>
      </c>
      <c r="B10" s="6">
        <v>0.06693405677860531</v>
      </c>
    </row>
    <row r="11" spans="1:2" x14ac:dyDescent="0.25">
      <c r="A11" t="s">
        <v>9</v>
      </c>
      <c r="B11" s="6">
        <v>0.12562326869806095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17.91932000972526</v>
      </c>
    </row>
    <row r="14" spans="1:3" x14ac:dyDescent="0.25">
      <c r="A14" t="s">
        <v>12</v>
      </c>
      <c r="B14" s="6">
        <v>0.11932959795918663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0.5685199999999999</v>
      </c>
      <c r="C19" s="8" t="s">
        <v>19</v>
      </c>
    </row>
    <row r="20" spans="1:2" x14ac:dyDescent="0.25">
      <c r="A20" t="s">
        <v>20</v>
      </c>
      <c r="B20" s="10">
        <f>B17+B19*B18</f>
        <v>0.0875912</v>
      </c>
    </row>
    <row r="21" spans="1:3" x14ac:dyDescent="0.25">
      <c r="A21" t="s">
        <v>21</v>
      </c>
      <c r="B21" s="6">
        <v>0.07377363167263797</v>
      </c>
      <c r="C21" s="8" t="s">
        <v>22</v>
      </c>
    </row>
    <row r="22" spans="1:2" x14ac:dyDescent="0.25">
      <c r="A22" t="s">
        <v>23</v>
      </c>
      <c r="B22" s="11">
        <v>36112281600</v>
      </c>
    </row>
    <row r="23" spans="1:2" x14ac:dyDescent="0.25">
      <c r="A23" t="s">
        <v>24</v>
      </c>
      <c r="B23" s="11">
        <v>2030200000</v>
      </c>
    </row>
    <row r="24" spans="1:2" x14ac:dyDescent="0.25">
      <c r="A24" t="s">
        <v>25</v>
      </c>
      <c r="B24" s="10">
        <f>B22/(B22+B23)</f>
        <v>0.9467732587173877</v>
      </c>
    </row>
    <row r="25" spans="1:2" x14ac:dyDescent="0.25">
      <c r="A25" t="s">
        <v>26</v>
      </c>
      <c r="B25" s="10">
        <f>1-B24</f>
        <v>0.05322674128261229</v>
      </c>
    </row>
    <row r="26" spans="1:2" x14ac:dyDescent="0.25">
      <c r="A26" t="s">
        <v>27</v>
      </c>
      <c r="B26" s="12">
        <f>B24*B20+B25*B21*(1-B8)</f>
        <v>0.0859262727538634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6297000000</v>
      </c>
      <c r="C29" s="8" t="s">
        <v>30</v>
      </c>
    </row>
    <row r="30" spans="1:2" x14ac:dyDescent="0.25">
      <c r="A30" t="s">
        <v>31</v>
      </c>
      <c r="B30" s="11">
        <v>738800000</v>
      </c>
    </row>
    <row r="31" spans="1:2" x14ac:dyDescent="0.25">
      <c r="A31" t="s">
        <v>32</v>
      </c>
      <c r="B31" s="13">
        <v>627265774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0.04150981724326552</v>
      </c>
      <c r="C5" s="10">
        <f>Assumptions!B6</f>
        <v>0.04150981724326552</v>
      </c>
      <c r="D5" s="10">
        <f>Assumptions!B6</f>
        <v>0.04150981724326552</v>
      </c>
      <c r="E5" s="10">
        <f>Assumptions!B6</f>
        <v>0.04150981724326552</v>
      </c>
      <c r="F5" s="10">
        <f>Assumptions!B6</f>
        <v>0.04150981724326552</v>
      </c>
    </row>
    <row r="6" spans="1:6" x14ac:dyDescent="0.25">
      <c r="A6" t="s">
        <v>43</v>
      </c>
      <c r="B6" s="18">
        <f>Assumptions!B29*(1+B5)</f>
        <v>6558387319.180843</v>
      </c>
      <c r="C6" s="18">
        <f>B6*(1+C5)</f>
        <v>6830624778.21059</v>
      </c>
      <c r="D6" s="18">
        <f>C6*(1+D5)</f>
        <v>7114162764.411433</v>
      </c>
      <c r="E6" s="18">
        <f>D6*(1+E5)</f>
        <v>7409470360.600996</v>
      </c>
      <c r="F6" s="18">
        <f>E6*(1+F5)</f>
        <v>7717036121.138936</v>
      </c>
    </row>
    <row r="7" spans="1:6" x14ac:dyDescent="0.25">
      <c r="A7" t="s">
        <v>5</v>
      </c>
      <c r="B7" s="10">
        <f>Assumptions!B7</f>
        <v>0.21053982584729675</v>
      </c>
      <c r="C7" s="10">
        <f>Assumptions!B7</f>
        <v>0.21053982584729675</v>
      </c>
      <c r="D7" s="10">
        <f>Assumptions!B7</f>
        <v>0.21053982584729675</v>
      </c>
      <c r="E7" s="10">
        <f>Assumptions!B7</f>
        <v>0.21053982584729675</v>
      </c>
      <c r="F7" s="10">
        <f>Assumptions!B7</f>
        <v>0.21053982584729675</v>
      </c>
    </row>
    <row r="8" spans="1:6" x14ac:dyDescent="0.25">
      <c r="A8" t="s">
        <v>44</v>
      </c>
      <c r="B8" s="18">
        <f>B6*B7</f>
        <v>1380801724.0194542</v>
      </c>
      <c r="C8" s="18">
        <f>C6*C7</f>
        <v>1438118551.2326877</v>
      </c>
      <c r="D8" s="18">
        <f>D6*D7</f>
        <v>1497814589.4685063</v>
      </c>
      <c r="E8" s="18">
        <f>E6*E7</f>
        <v>1559988599.3416407</v>
      </c>
      <c r="F8" s="18">
        <f>F6*F7</f>
        <v>1624743441.00189</v>
      </c>
    </row>
    <row r="9" spans="1:6" x14ac:dyDescent="0.25">
      <c r="A9" t="s">
        <v>45</v>
      </c>
      <c r="B9" s="18">
        <f>B8*(1-Assumptions!B8)</f>
        <v>1053963804.2213689</v>
      </c>
      <c r="C9" s="18">
        <f>C8*(1-Assumptions!B8)</f>
        <v>1097713649.1156147</v>
      </c>
      <c r="D9" s="18">
        <f>D8*(1-Assumptions!B8)</f>
        <v>1143279542.075842</v>
      </c>
      <c r="E9" s="18">
        <f>E8*(1-Assumptions!B8)</f>
        <v>1190736866.9253745</v>
      </c>
      <c r="F9" s="18">
        <f>F8*(1-Assumptions!B8)</f>
        <v>1240164136.6562653</v>
      </c>
    </row>
    <row r="10" spans="1:6" x14ac:dyDescent="0.25">
      <c r="A10" t="s">
        <v>46</v>
      </c>
      <c r="B10" s="18">
        <f>B6*Assumptions!B9</f>
        <v>596894369.1520728</v>
      </c>
      <c r="C10" s="18">
        <f>C6*Assumptions!B9</f>
        <v>621671345.3291095</v>
      </c>
      <c r="D10" s="18">
        <f>D6*Assumptions!B9</f>
        <v>647476809.2590959</v>
      </c>
      <c r="E10" s="18">
        <f>E6*Assumptions!B9</f>
        <v>674353453.2806937</v>
      </c>
      <c r="F10" s="18">
        <f>F6*Assumptions!B9</f>
        <v>702345741.8837403</v>
      </c>
    </row>
    <row r="11" spans="1:6" x14ac:dyDescent="0.25">
      <c r="A11" t="s">
        <v>47</v>
      </c>
      <c r="B11" s="18">
        <f>-B6*Assumptions!B10</f>
        <v>-438979469.1981356</v>
      </c>
      <c r="C11" s="18">
        <f>-C6*Assumptions!B10</f>
        <v>-457201426.73809594</v>
      </c>
      <c r="D11" s="18">
        <f>-D6*Assumptions!B10</f>
        <v>-476179774.40535456</v>
      </c>
      <c r="E11" s="18">
        <f>-E6*Assumptions!B10</f>
        <v>-495945909.8158602</v>
      </c>
      <c r="F11" s="18">
        <f>-F6*Assumptions!B10</f>
        <v>-516532533.89486164</v>
      </c>
    </row>
    <row r="12" spans="1:6" x14ac:dyDescent="0.25">
      <c r="A12" t="s">
        <v>48</v>
      </c>
      <c r="B12" s="18">
        <f>-(B6-Assumptions!B29)*Assumptions!B11</f>
        <v>-32836329.431720905</v>
      </c>
      <c r="C12" s="18">
        <f>-(C6-B6)*Assumptions!B11</f>
        <v>-34199359.465371266</v>
      </c>
      <c r="D12" s="18">
        <f>-(D6-C6)*Assumptions!B11</f>
        <v>-35618968.626615584</v>
      </c>
      <c r="E12" s="18">
        <f>-(E6-D6)*Assumptions!B11</f>
        <v>-37097505.50469993</v>
      </c>
      <c r="F12" s="18">
        <f>-(F6-E6)*Assumptions!B11</f>
        <v>-38637416.178381115</v>
      </c>
    </row>
    <row r="13" spans="1:6" x14ac:dyDescent="0.25">
      <c r="A13" s="19" t="s">
        <v>49</v>
      </c>
      <c r="B13" s="20">
        <f>B9+B10+B11+B12</f>
        <v>1179042374.743585</v>
      </c>
      <c r="C13" s="20">
        <f>C9+C10+C11+C12</f>
        <v>1227984208.2412567</v>
      </c>
      <c r="D13" s="20">
        <f>D9+D10+D11+D12</f>
        <v>1278957608.3029678</v>
      </c>
      <c r="E13" s="20">
        <f>E9+E10+E11+E12</f>
        <v>1332046904.8855078</v>
      </c>
      <c r="F13" s="20">
        <f>F9+F10+F11+F12</f>
        <v>1387339928.4667628</v>
      </c>
    </row>
    <row r="14" spans="1:6" x14ac:dyDescent="0.25">
      <c r="A14" t="s">
        <v>50</v>
      </c>
      <c r="B14" s="21">
        <f>1/(1+Assumptions!$B$26)^(1-0.5*Assumptions!$B$32)</f>
        <v>0.9596211909054567</v>
      </c>
      <c r="C14" s="21">
        <f>1/(1+Assumptions!$B$26)^(2-0.5*Assumptions!$B$32)</f>
        <v>0.8836890818304799</v>
      </c>
      <c r="D14" s="21">
        <f>1/(1+Assumptions!$B$26)^(3-0.5*Assumptions!$B$32)</f>
        <v>0.8137652656560941</v>
      </c>
      <c r="E14" s="21">
        <f>1/(1+Assumptions!$B$26)^(4-0.5*Assumptions!$B$32)</f>
        <v>0.7493743231687539</v>
      </c>
      <c r="F14" s="21">
        <f>1/(1+Assumptions!$B$26)^(5-0.5*Assumptions!$B$32)</f>
        <v>0.6900784537318285</v>
      </c>
    </row>
    <row r="15" spans="1:6" x14ac:dyDescent="0.25">
      <c r="A15" s="19" t="s">
        <v>51</v>
      </c>
      <c r="B15" s="20">
        <f>B13*B14</f>
        <v>1131434047.7794368</v>
      </c>
      <c r="C15" s="20">
        <f>C13*C14</f>
        <v>1085156237.4830449</v>
      </c>
      <c r="D15" s="20">
        <f>D13*D14</f>
        <v>1040771277.8835473</v>
      </c>
      <c r="E15" s="20">
        <f>E13*E14</f>
        <v>998201747.7776109</v>
      </c>
      <c r="F15" s="20">
        <f>F13*F14</f>
        <v>957373392.6367693</v>
      </c>
    </row>
    <row r="17" spans="1:2" x14ac:dyDescent="0.25">
      <c r="A17" s="22" t="s">
        <v>52</v>
      </c>
      <c r="B17" s="23">
        <f>SUM(B15:F15)</f>
        <v>5212936703.56041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1387339928.4667628</v>
      </c>
    </row>
    <row r="5" spans="1:2" x14ac:dyDescent="0.25">
      <c r="A5" t="s">
        <v>56</v>
      </c>
      <c r="B5" s="18">
        <f>IF(Assumptions!$B$33=0,B4,B4-Forecast!F11-Forecast!F10-Forecast!F12)</f>
        <v>1240164136.6562653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0.20950376459451875</v>
      </c>
    </row>
    <row r="7" spans="1:2" x14ac:dyDescent="0.25">
      <c r="A7" t="s">
        <v>58</v>
      </c>
      <c r="B7" s="18">
        <f>-MAX(Forecast!F9,0)*B6</f>
        <v>-259819055.34459877</v>
      </c>
    </row>
    <row r="8" spans="1:2" x14ac:dyDescent="0.25">
      <c r="A8" t="s">
        <v>59</v>
      </c>
      <c r="B8" s="18">
        <f>IF(OR(Assumptions!$B$33=0,Assumptions!B12&lt;=0),B5,MAX(B5+B7,0))</f>
        <v>980345081.3116665</v>
      </c>
    </row>
    <row r="9" spans="1:2" x14ac:dyDescent="0.25">
      <c r="A9" t="s">
        <v>60</v>
      </c>
      <c r="B9" s="18">
        <f>B8*(1+Assumptions!B12)/(Assumptions!B26-Assumptions!B12)</f>
        <v>16492945701.831715</v>
      </c>
    </row>
    <row r="10" spans="1:2" x14ac:dyDescent="0.25">
      <c r="A10" t="s">
        <v>61</v>
      </c>
      <c r="B10" s="18">
        <f>B9/(1+Assumptions!B26)^(5-0.5*Assumptions!B32)</f>
        <v>11381426467.403036</v>
      </c>
    </row>
    <row r="11" spans="1:2" x14ac:dyDescent="0.25">
      <c r="A11" t="s">
        <v>62</v>
      </c>
      <c r="B11" s="18">
        <f>Forecast!B17+B10</f>
        <v>16594363170.963446</v>
      </c>
    </row>
    <row r="12" spans="1:2" x14ac:dyDescent="0.25">
      <c r="A12" t="s">
        <v>63</v>
      </c>
      <c r="B12" s="18">
        <f>-Assumptions!B30</f>
        <v>-738800000</v>
      </c>
    </row>
    <row r="13" spans="1:2" x14ac:dyDescent="0.25">
      <c r="A13" t="s">
        <v>64</v>
      </c>
      <c r="B13" s="18">
        <f>B11+B12</f>
        <v>15855563170.963446</v>
      </c>
    </row>
    <row r="14" spans="1:2" x14ac:dyDescent="0.25">
      <c r="A14" s="19" t="s">
        <v>65</v>
      </c>
      <c r="B14" s="24">
        <f>B13/Assumptions!B31</f>
        <v>25.27726496195446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2327089182.88563</v>
      </c>
    </row>
    <row r="18" spans="1:2" x14ac:dyDescent="0.25">
      <c r="A18" t="s">
        <v>60</v>
      </c>
      <c r="B18" s="18">
        <f>B17*Assumptions!B13</f>
        <v>41699855759.29768</v>
      </c>
    </row>
    <row r="19" spans="1:2" x14ac:dyDescent="0.25">
      <c r="A19" t="s">
        <v>61</v>
      </c>
      <c r="B19" s="18">
        <f>B18/(1+Assumptions!B26)^(5-0.5*Assumptions!B32)</f>
        <v>28776171983.21643</v>
      </c>
    </row>
    <row r="20" spans="1:2" x14ac:dyDescent="0.25">
      <c r="A20" t="s">
        <v>62</v>
      </c>
      <c r="B20" s="18">
        <f>Forecast!B17+B19</f>
        <v>33989108686.77684</v>
      </c>
    </row>
    <row r="21" spans="1:2" x14ac:dyDescent="0.25">
      <c r="A21" t="s">
        <v>63</v>
      </c>
      <c r="B21" s="18">
        <f>-Assumptions!B30</f>
        <v>-738800000</v>
      </c>
    </row>
    <row r="22" spans="1:2" x14ac:dyDescent="0.25">
      <c r="A22" t="s">
        <v>64</v>
      </c>
      <c r="B22" s="18">
        <f>B20+B21</f>
        <v>33250308686.77684</v>
      </c>
    </row>
    <row r="23" spans="1:2" x14ac:dyDescent="0.25">
      <c r="A23" s="19" t="s">
        <v>65</v>
      </c>
      <c r="B23" s="25">
        <f>B22/Assumptions!B31</f>
        <v>53.00832607961939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60.77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25.27726496195446</v>
      </c>
    </row>
    <row r="29" spans="1:2" x14ac:dyDescent="0.25">
      <c r="A29" s="19" t="s">
        <v>73</v>
      </c>
      <c r="B29" s="12">
        <f>B28/B26-1</f>
        <v>-0.5840502721416083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0.065926</v>
      </c>
      <c r="B5" s="31">
        <v>33.3664762744169</v>
      </c>
      <c r="C5" s="31">
        <v>34.94141590840489</v>
      </c>
      <c r="D5" s="31">
        <v>36.88599450234377</v>
      </c>
      <c r="E5" s="31">
        <v>39.35454553057701</v>
      </c>
      <c r="F5" s="31">
        <v>42.60121070281214</v>
      </c>
    </row>
    <row r="6" spans="1:6" x14ac:dyDescent="0.25">
      <c r="A6" s="30">
        <v>0.075926</v>
      </c>
      <c r="B6" s="31">
        <v>28.038503975281387</v>
      </c>
      <c r="C6" s="31">
        <v>28.914910152387666</v>
      </c>
      <c r="D6" s="31">
        <v>29.951707603420193</v>
      </c>
      <c r="E6" s="31">
        <v>31.201282103514927</v>
      </c>
      <c r="F6" s="31">
        <v>32.74161966977428</v>
      </c>
    </row>
    <row r="7" spans="1:6" x14ac:dyDescent="0.25">
      <c r="A7" s="30">
        <v>0.085926</v>
      </c>
      <c r="B7" s="31">
        <v>24.203274627551778</v>
      </c>
      <c r="C7" s="31">
        <v>24.7039277447601</v>
      </c>
      <c r="D7" s="32">
        <v>25.277371743947818</v>
      </c>
      <c r="E7" s="31">
        <v>25.94312998150895</v>
      </c>
      <c r="F7" s="31">
        <v>26.728393157196074</v>
      </c>
    </row>
    <row r="8" spans="1:6" x14ac:dyDescent="0.25">
      <c r="A8" s="30">
        <v>0.095926</v>
      </c>
      <c r="B8" s="31">
        <v>21.307906002252594</v>
      </c>
      <c r="C8" s="31">
        <v>21.591754609616935</v>
      </c>
      <c r="D8" s="31">
        <v>21.907889173932574</v>
      </c>
      <c r="E8" s="31">
        <v>22.26365564906096</v>
      </c>
      <c r="F8" s="31">
        <v>22.668811423673453</v>
      </c>
    </row>
    <row r="9" spans="1:6" x14ac:dyDescent="0.25">
      <c r="A9" s="30">
        <v>0.105926</v>
      </c>
      <c r="B9" s="31">
        <v>19.04270920955398</v>
      </c>
      <c r="C9" s="31">
        <v>19.195281181427386</v>
      </c>
      <c r="D9" s="31">
        <v>19.360199225186467</v>
      </c>
      <c r="E9" s="31">
        <v>19.539902440458285</v>
      </c>
      <c r="F9" s="31">
        <v>19.737517714036006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6297000000</v>
      </c>
      <c r="C5" s="18">
        <v>6603600000</v>
      </c>
      <c r="D5" s="18">
        <v>6295700000</v>
      </c>
      <c r="E5" s="18">
        <v>5573700000</v>
      </c>
      <c r="F5" s="8" t="s">
        <v>84</v>
      </c>
    </row>
    <row r="6" spans="1:6" x14ac:dyDescent="0.25">
      <c r="A6" t="s">
        <v>44</v>
      </c>
      <c r="B6" s="18">
        <v>1382100000</v>
      </c>
      <c r="C6" s="18">
        <v>1433100000</v>
      </c>
      <c r="D6" s="18">
        <v>1318400000</v>
      </c>
      <c r="E6" s="18">
        <v>1093800000</v>
      </c>
      <c r="F6" s="8" t="s">
        <v>85</v>
      </c>
    </row>
    <row r="7" spans="1:6" x14ac:dyDescent="0.25">
      <c r="A7" t="s">
        <v>86</v>
      </c>
      <c r="B7" s="18">
        <v>674400000</v>
      </c>
      <c r="C7" s="18">
        <v>594600000</v>
      </c>
      <c r="D7" s="18">
        <v>488300000</v>
      </c>
      <c r="E7" s="18">
        <v>498000000</v>
      </c>
      <c r="F7" s="8" t="s">
        <v>87</v>
      </c>
    </row>
    <row r="8" spans="1:6" x14ac:dyDescent="0.25">
      <c r="A8" t="s">
        <v>88</v>
      </c>
      <c r="B8" s="18">
        <v>458300000</v>
      </c>
      <c r="C8" s="18">
        <v>494100000</v>
      </c>
      <c r="D8" s="18">
        <v>452700000</v>
      </c>
      <c r="E8" s="18">
        <v>268800000</v>
      </c>
      <c r="F8" s="8" t="s">
        <v>89</v>
      </c>
    </row>
    <row r="9" spans="1:6" x14ac:dyDescent="0.25">
      <c r="A9" t="s">
        <v>90</v>
      </c>
      <c r="B9" s="18">
        <v>77600000</v>
      </c>
      <c r="C9" s="18">
        <v>105000000</v>
      </c>
      <c r="D9" s="18">
        <v>90700000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2030200000</v>
      </c>
      <c r="C10" s="18">
        <v>2407700000</v>
      </c>
      <c r="D10" s="18">
        <v>2681900000</v>
      </c>
      <c r="E10" s="18">
        <v>2785100000</v>
      </c>
      <c r="F10" s="8" t="s">
        <v>93</v>
      </c>
    </row>
    <row r="11" spans="1:6" x14ac:dyDescent="0.25">
      <c r="A11" t="s">
        <v>94</v>
      </c>
      <c r="B11" s="18">
        <v>1291400000</v>
      </c>
      <c r="C11" s="18">
        <v>959100000</v>
      </c>
      <c r="D11" s="18">
        <v>3186800000</v>
      </c>
      <c r="E11" s="18">
        <v>3044700000</v>
      </c>
      <c r="F11" s="8" t="s">
        <v>95</v>
      </c>
    </row>
    <row r="12" spans="1:6" x14ac:dyDescent="0.25">
      <c r="A12" t="s">
        <v>32</v>
      </c>
      <c r="B12" s="34">
        <v>627265774</v>
      </c>
      <c r="C12" s="34">
        <v>640176817</v>
      </c>
      <c r="D12" s="34">
        <v>656775068</v>
      </c>
      <c r="E12" s="34">
        <v>666549543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2026-09-19T01:03:58Z</dcterms:modified>
</cp:coreProperties>
</file>