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<sst xmlns="http://schemas.openxmlformats.org/spreadsheetml/2006/main" count="111" uniqueCount="99">
  <si>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Allegion plc (ALLE)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</si>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</sst>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0.07523170466176188</v>
      </c>
    </row>
    <row r="7" spans="1:2" x14ac:dyDescent="0.25">
      <c r="A7" t="s">
        <v>5</v>
      </c>
      <c r="B7" s="6">
        <v>0.19839952290796803</v>
      </c>
    </row>
    <row r="8" spans="1:2" x14ac:dyDescent="0.25">
      <c r="A8" t="s">
        <v>6</v>
      </c>
      <c r="B8" s="6">
        <v>0.1345358360837818</v>
      </c>
    </row>
    <row r="9" spans="1:2" x14ac:dyDescent="0.25">
      <c r="A9" t="s">
        <v>7</v>
      </c>
      <c r="B9" s="6">
        <v>0.031196417639318186</v>
      </c>
    </row>
    <row r="10" spans="1:2" x14ac:dyDescent="0.25">
      <c r="A10" t="s">
        <v>8</v>
      </c>
      <c r="B10" s="6">
        <v>0.022789648297871532</v>
      </c>
    </row>
    <row r="11" spans="1:2" x14ac:dyDescent="0.25">
      <c r="A11" t="s">
        <v>9</v>
      </c>
      <c r="B11" s="6">
        <v>0.0650626906133514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14.680469023874283</v>
      </c>
    </row>
    <row r="14" spans="1:3" x14ac:dyDescent="0.25">
      <c r="A14" t="s">
        <v>12</v>
      </c>
      <c r="B14" s="6">
        <v>0.1848263457415741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0.89347</v>
      </c>
      <c r="C19" s="8" t="s">
        <v>19</v>
      </c>
    </row>
    <row r="20" spans="1:2" x14ac:dyDescent="0.25">
      <c r="A20" t="s">
        <v>20</v>
      </c>
      <c r="B20" s="10">
        <f>B17+B19*B18</f>
        <v>0.09912085000000001</v>
      </c>
    </row>
    <row r="21" spans="1:3" x14ac:dyDescent="0.25">
      <c r="A21" t="s">
        <v>21</v>
      </c>
      <c r="B21" s="6">
        <v>0.0507588702382149</v>
      </c>
      <c r="C21" s="8" t="s">
        <v>22</v>
      </c>
    </row>
    <row r="22" spans="1:2" x14ac:dyDescent="0.25">
      <c r="A22" t="s">
        <v>23</v>
      </c>
      <c r="B22" s="11">
        <v>12949401600</v>
      </c>
    </row>
    <row r="23" spans="1:2" x14ac:dyDescent="0.25">
      <c r="A23" t="s">
        <v>24</v>
      </c>
      <c r="B23" s="11">
        <v>1980100000</v>
      </c>
    </row>
    <row r="24" spans="1:2" x14ac:dyDescent="0.25">
      <c r="A24" t="s">
        <v>25</v>
      </c>
      <c r="B24" s="10">
        <f>B22/(B22+B23)</f>
        <v>0.8673699864166933</v>
      </c>
    </row>
    <row r="25" spans="1:2" x14ac:dyDescent="0.25">
      <c r="A25" t="s">
        <v>26</v>
      </c>
      <c r="B25" s="10">
        <f>1-B24</f>
        <v>0.13263001358330673</v>
      </c>
    </row>
    <row r="26" spans="1:2" x14ac:dyDescent="0.25">
      <c r="A26" t="s">
        <v>27</v>
      </c>
      <c r="B26" s="12">
        <f>B24*B20+B25*B21*(1-B8)</f>
        <v>0.09180088458558693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4067300000</v>
      </c>
      <c r="C29" s="8" t="s">
        <v>30</v>
      </c>
    </row>
    <row r="30" spans="1:2" x14ac:dyDescent="0.25">
      <c r="A30" t="s">
        <v>31</v>
      </c>
      <c r="B30" s="11">
        <v>1623900000</v>
      </c>
    </row>
    <row r="31" spans="1:2" x14ac:dyDescent="0.25">
      <c r="A31" t="s">
        <v>32</v>
      </c>
      <c r="B31" s="13">
        <v>86600000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0.07523170466176188</v>
      </c>
      <c r="C5" s="10">
        <f>Assumptions!B6</f>
        <v>0.07523170466176188</v>
      </c>
      <c r="D5" s="10">
        <f>Assumptions!B6</f>
        <v>0.07523170466176188</v>
      </c>
      <c r="E5" s="10">
        <f>Assumptions!B6</f>
        <v>0.07523170466176188</v>
      </c>
      <c r="F5" s="10">
        <f>Assumptions!B6</f>
        <v>0.07523170466176188</v>
      </c>
    </row>
    <row r="6" spans="1:6" x14ac:dyDescent="0.25">
      <c r="A6" t="s">
        <v>43</v>
      </c>
      <c r="B6" s="18">
        <f>Assumptions!B29*(1+B5)</f>
        <v>4373289912.370784</v>
      </c>
      <c r="C6" s="18">
        <f>B6*(1+C5)</f>
        <v>4702299967.458525</v>
      </c>
      <c r="D6" s="18">
        <f>C6*(1+D5)</f>
        <v>5056062009.841377</v>
      </c>
      <c r="E6" s="18">
        <f>D6*(1+E5)</f>
        <v>5436438173.717318</v>
      </c>
      <c r="F6" s="18">
        <f>E6*(1+F5)</f>
        <v>5845430684.814347</v>
      </c>
    </row>
    <row r="7" spans="1:6" x14ac:dyDescent="0.25">
      <c r="A7" t="s">
        <v>5</v>
      </c>
      <c r="B7" s="10">
        <f>Assumptions!B7</f>
        <v>0.19839952290796803</v>
      </c>
      <c r="C7" s="10">
        <f>Assumptions!B7</f>
        <v>0.19839952290796803</v>
      </c>
      <c r="D7" s="10">
        <f>Assumptions!B7</f>
        <v>0.19839952290796803</v>
      </c>
      <c r="E7" s="10">
        <f>Assumptions!B7</f>
        <v>0.19839952290796803</v>
      </c>
      <c r="F7" s="10">
        <f>Assumptions!B7</f>
        <v>0.19839952290796803</v>
      </c>
    </row>
    <row r="8" spans="1:6" x14ac:dyDescent="0.25">
      <c r="A8" t="s">
        <v>44</v>
      </c>
      <c r="B8" s="18">
        <f>B6*B7</f>
        <v>867658632.1525928</v>
      </c>
      <c r="C8" s="18">
        <f>C6*C7</f>
        <v>932934070.1139249</v>
      </c>
      <c r="D8" s="18">
        <f>D6*D7</f>
        <v>1003120290.5456312</v>
      </c>
      <c r="E8" s="18">
        <f>E6*E7</f>
        <v>1078586739.984181</v>
      </c>
      <c r="F8" s="18">
        <f>F6*F7</f>
        <v>1159730659.0587633</v>
      </c>
    </row>
    <row r="9" spans="1:6" x14ac:dyDescent="0.25">
      <c r="A9" t="s">
        <v>45</v>
      </c>
      <c r="B9" s="18">
        <f>B8*(1-Assumptions!B8)</f>
        <v>750927452.6406332</v>
      </c>
      <c r="C9" s="18">
        <f>C8*(1-Assumptions!B8)</f>
        <v>807421004.9801024</v>
      </c>
      <c r="D9" s="18">
        <f>D8*(1-Assumptions!B8)</f>
        <v>868164663.5644685</v>
      </c>
      <c r="E9" s="18">
        <f>E8*(1-Assumptions!B8)</f>
        <v>933478171.1315285</v>
      </c>
      <c r="F9" s="18">
        <f>F8*(1-Assumptions!B8)</f>
        <v>1003705325.2102972</v>
      </c>
    </row>
    <row r="10" spans="1:6" x14ac:dyDescent="0.25">
      <c r="A10" t="s">
        <v>46</v>
      </c>
      <c r="B10" s="18">
        <f>B6*Assumptions!B9</f>
        <v>136430978.5641362</v>
      </c>
      <c r="C10" s="18">
        <f>C6*Assumptions!B9</f>
        <v>146694913.65018845</v>
      </c>
      <c r="D10" s="18">
        <f>D6*Assumptions!B9</f>
        <v>157731022.0693021</v>
      </c>
      <c r="E10" s="18">
        <f>E6*Assumptions!B9</f>
        <v>169597395.73761767</v>
      </c>
      <c r="F10" s="18">
        <f>F6*Assumptions!B9</f>
        <v>182356496.9251541</v>
      </c>
    </row>
    <row r="11" spans="1:6" x14ac:dyDescent="0.25">
      <c r="A11" t="s">
        <v>47</v>
      </c>
      <c r="B11" s="18">
        <f>-B6*Assumptions!B10</f>
        <v>-99665739.00755958</v>
      </c>
      <c r="C11" s="18">
        <f>-C6*Assumptions!B10</f>
        <v>-107163762.44947253</v>
      </c>
      <c r="D11" s="18">
        <f>-D6*Assumptions!B10</f>
        <v>-115225874.97651446</v>
      </c>
      <c r="E11" s="18">
        <f>-E6*Assumptions!B10</f>
        <v>-123894513.97214068</v>
      </c>
      <c r="F11" s="18">
        <f>-F6*Assumptions!B10</f>
        <v>-133215309.45650531</v>
      </c>
    </row>
    <row r="12" spans="1:6" x14ac:dyDescent="0.25">
      <c r="A12" t="s">
        <v>48</v>
      </c>
      <c r="B12" s="18">
        <f>-(B6-Assumptions!B29)*Assumptions!B11</f>
        <v>-19908526.999386813</v>
      </c>
      <c r="C12" s="18">
        <f>-(C6-B6)*Assumptions!B11</f>
        <v>-21406279.42285539</v>
      </c>
      <c r="D12" s="18">
        <f>-(D6-C6)*Assumptions!B11</f>
        <v>-23016710.314302843</v>
      </c>
      <c r="E12" s="18">
        <f>-(E6-D6)*Assumptions!B11</f>
        <v>-24748296.666953757</v>
      </c>
      <c r="F12" s="18">
        <f>-(F6-E6)*Assumptions!B11</f>
        <v>-26610153.212683734</v>
      </c>
    </row>
    <row r="13" spans="1:6" x14ac:dyDescent="0.25">
      <c r="A13" s="19" t="s">
        <v>49</v>
      </c>
      <c r="B13" s="20">
        <f>B9+B10+B11+B12</f>
        <v>767784165.197823</v>
      </c>
      <c r="C13" s="20">
        <f>C9+C10+C11+C12</f>
        <v>825545876.757963</v>
      </c>
      <c r="D13" s="20">
        <f>D9+D10+D11+D12</f>
        <v>887653100.3429533</v>
      </c>
      <c r="E13" s="20">
        <f>E9+E10+E11+E12</f>
        <v>954432756.2300516</v>
      </c>
      <c r="F13" s="20">
        <f>F9+F10+F11+F12</f>
        <v>1026236359.4662623</v>
      </c>
    </row>
    <row r="14" spans="1:6" x14ac:dyDescent="0.25">
      <c r="A14" t="s">
        <v>50</v>
      </c>
      <c r="B14" s="21">
        <f>1/(1+Assumptions!$B$26)^(1-0.5*Assumptions!$B$32)</f>
        <v>0.957036009948413</v>
      </c>
      <c r="C14" s="21">
        <f>1/(1+Assumptions!$B$26)^(2-0.5*Assumptions!$B$32)</f>
        <v>0.8765664357486518</v>
      </c>
      <c r="D14" s="21">
        <f>1/(1+Assumptions!$B$26)^(3-0.5*Assumptions!$B$32)</f>
        <v>0.8028629103752455</v>
      </c>
      <c r="E14" s="21">
        <f>1/(1+Assumptions!$B$26)^(4-0.5*Assumptions!$B$32)</f>
        <v>0.7353565303988436</v>
      </c>
      <c r="F14" s="21">
        <f>1/(1+Assumptions!$B$26)^(5-0.5*Assumptions!$B$32)</f>
        <v>0.6735262269712867</v>
      </c>
    </row>
    <row r="15" spans="1:6" x14ac:dyDescent="0.25">
      <c r="A15" s="19" t="s">
        <v>51</v>
      </c>
      <c r="B15" s="20">
        <f>B13*B14</f>
        <v>734797093.9624977</v>
      </c>
      <c r="C15" s="20">
        <f>C13*C14</f>
        <v>723645806.7367233</v>
      </c>
      <c r="D15" s="20">
        <f>D13*D14</f>
        <v>712663751.5449533</v>
      </c>
      <c r="E15" s="20">
        <f>E13*E14</f>
        <v>701848360.120336</v>
      </c>
      <c r="F15" s="20">
        <f>F13*F14</f>
        <v>691197103.1720608</v>
      </c>
    </row>
    <row r="17" spans="1:2" x14ac:dyDescent="0.25">
      <c r="A17" s="22" t="s">
        <v>52</v>
      </c>
      <c r="B17" s="23">
        <f>SUM(B15:F15)</f>
        <v>3564152115.5365715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1026236359.4662623</v>
      </c>
    </row>
    <row r="5" spans="1:2" x14ac:dyDescent="0.25">
      <c r="A5" t="s">
        <v>56</v>
      </c>
      <c r="B5" s="18">
        <f>IF(Assumptions!$B$33=0,B4,B4-Forecast!F11-Forecast!F10-Forecast!F12)</f>
        <v>1003705325.2102972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0.1352621018377717</v>
      </c>
    </row>
    <row r="7" spans="1:2" x14ac:dyDescent="0.25">
      <c r="A7" t="s">
        <v>58</v>
      </c>
      <c r="B7" s="18">
        <f>-MAX(Forecast!F9,0)*B6</f>
        <v>-135763291.91370898</v>
      </c>
    </row>
    <row r="8" spans="1:2" x14ac:dyDescent="0.25">
      <c r="A8" t="s">
        <v>59</v>
      </c>
      <c r="B8" s="18">
        <f>IF(OR(Assumptions!$B$33=0,Assumptions!B12&lt;=0),B5,MAX(B5+B7,0))</f>
        <v>867942033.2965882</v>
      </c>
    </row>
    <row r="9" spans="1:2" x14ac:dyDescent="0.25">
      <c r="A9" t="s">
        <v>60</v>
      </c>
      <c r="B9" s="18">
        <f>B8*(1+Assumptions!B12)/(Assumptions!B26-Assumptions!B12)</f>
        <v>13317796458.056984</v>
      </c>
    </row>
    <row r="10" spans="1:2" x14ac:dyDescent="0.25">
      <c r="A10" t="s">
        <v>61</v>
      </c>
      <c r="B10" s="18">
        <f>B9/(1+Assumptions!B26)^(5-0.5*Assumptions!B32)</f>
        <v>8969885199.966686</v>
      </c>
    </row>
    <row r="11" spans="1:2" x14ac:dyDescent="0.25">
      <c r="A11" t="s">
        <v>62</v>
      </c>
      <c r="B11" s="18">
        <f>Forecast!B17+B10</f>
        <v>12534037315.503258</v>
      </c>
    </row>
    <row r="12" spans="1:2" x14ac:dyDescent="0.25">
      <c r="A12" t="s">
        <v>63</v>
      </c>
      <c r="B12" s="18">
        <f>-Assumptions!B30</f>
        <v>-1623900000</v>
      </c>
    </row>
    <row r="13" spans="1:2" x14ac:dyDescent="0.25">
      <c r="A13" t="s">
        <v>64</v>
      </c>
      <c r="B13" s="18">
        <f>B11+B12</f>
        <v>10910137315.503258</v>
      </c>
    </row>
    <row r="14" spans="1:2" x14ac:dyDescent="0.25">
      <c r="A14" s="19" t="s">
        <v>65</v>
      </c>
      <c r="B14" s="24">
        <f>B13/Assumptions!B31</f>
        <v>125.9831098787905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1342087155.9839172</v>
      </c>
    </row>
    <row r="18" spans="1:2" x14ac:dyDescent="0.25">
      <c r="A18" t="s">
        <v>60</v>
      </c>
      <c r="B18" s="18">
        <f>B17*Assumptions!B13</f>
        <v>19702468920.76143</v>
      </c>
    </row>
    <row r="19" spans="1:2" x14ac:dyDescent="0.25">
      <c r="A19" t="s">
        <v>61</v>
      </c>
      <c r="B19" s="18">
        <f>B18/(1+Assumptions!B26)^(5-0.5*Assumptions!B32)</f>
        <v>13270129554.219484</v>
      </c>
    </row>
    <row r="20" spans="1:2" x14ac:dyDescent="0.25">
      <c r="A20" t="s">
        <v>62</v>
      </c>
      <c r="B20" s="18">
        <f>Forecast!B17+B19</f>
        <v>16834281669.756056</v>
      </c>
    </row>
    <row r="21" spans="1:2" x14ac:dyDescent="0.25">
      <c r="A21" t="s">
        <v>63</v>
      </c>
      <c r="B21" s="18">
        <f>-Assumptions!B30</f>
        <v>-1623900000</v>
      </c>
    </row>
    <row r="22" spans="1:2" x14ac:dyDescent="0.25">
      <c r="A22" t="s">
        <v>64</v>
      </c>
      <c r="B22" s="18">
        <f>B20+B21</f>
        <v>15210381669.756056</v>
      </c>
    </row>
    <row r="23" spans="1:2" x14ac:dyDescent="0.25">
      <c r="A23" s="19" t="s">
        <v>65</v>
      </c>
      <c r="B23" s="25">
        <f>B22/Assumptions!B31</f>
        <v>175.63951119810687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152.28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125.9831098787905</v>
      </c>
    </row>
    <row r="29" spans="1:2" x14ac:dyDescent="0.25">
      <c r="A29" s="19" t="s">
        <v>73</v>
      </c>
      <c r="B29" s="12">
        <f>B28/B26-1</f>
        <v>-0.17268774705285983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0.071801</v>
      </c>
      <c r="B5" s="31">
        <v>163.63393545203988</v>
      </c>
      <c r="C5" s="31">
        <v>173.31223384630715</v>
      </c>
      <c r="D5" s="31">
        <v>185.00946333558872</v>
      </c>
      <c r="E5" s="31">
        <v>199.450103392271</v>
      </c>
      <c r="F5" s="31">
        <v>217.7523616332938</v>
      </c>
    </row>
    <row r="6" spans="1:6" x14ac:dyDescent="0.25">
      <c r="A6" s="30">
        <v>0.081801</v>
      </c>
      <c r="B6" s="31">
        <v>136.94660969261477</v>
      </c>
      <c r="C6" s="31">
        <v>143.10887416634236</v>
      </c>
      <c r="D6" s="31">
        <v>150.31727493848314</v>
      </c>
      <c r="E6" s="31">
        <v>158.87474138252801</v>
      </c>
      <c r="F6" s="31">
        <v>169.21365710306998</v>
      </c>
    </row>
    <row r="7" spans="1:6" x14ac:dyDescent="0.25">
      <c r="A7" s="30">
        <v>0.091801</v>
      </c>
      <c r="B7" s="31">
        <v>117.19921673457097</v>
      </c>
      <c r="C7" s="31">
        <v>121.29991632706455</v>
      </c>
      <c r="D7" s="32">
        <v>125.98287090761058</v>
      </c>
      <c r="E7" s="31">
        <v>131.38940221567591</v>
      </c>
      <c r="F7" s="31">
        <v>137.71059229053427</v>
      </c>
    </row>
    <row r="8" spans="1:6" x14ac:dyDescent="0.25">
      <c r="A8" s="30">
        <v>0.101801</v>
      </c>
      <c r="B8" s="31">
        <v>101.99380038573774</v>
      </c>
      <c r="C8" s="31">
        <v>104.80781333291426</v>
      </c>
      <c r="D8" s="31">
        <v>107.96183798854888</v>
      </c>
      <c r="E8" s="31">
        <v>111.52690645006184</v>
      </c>
      <c r="F8" s="31">
        <v>115.59531759154441</v>
      </c>
    </row>
    <row r="9" spans="1:6" x14ac:dyDescent="0.25">
      <c r="A9" s="30">
        <v>0.111801</v>
      </c>
      <c r="B9" s="31">
        <v>89.92324270035623</v>
      </c>
      <c r="C9" s="31">
        <v>91.89591487713767</v>
      </c>
      <c r="D9" s="31">
        <v>94.07343017764512</v>
      </c>
      <c r="E9" s="31">
        <v>96.49335106267846</v>
      </c>
      <c r="F9" s="31">
        <v>99.20302175650411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4067300000</v>
      </c>
      <c r="C5" s="18">
        <v>3772200000</v>
      </c>
      <c r="D5" s="18">
        <v>3650800000</v>
      </c>
      <c r="E5" s="18">
        <v>3271900000</v>
      </c>
      <c r="F5" s="8" t="s">
        <v>84</v>
      </c>
    </row>
    <row r="6" spans="1:6" x14ac:dyDescent="0.25">
      <c r="A6" t="s">
        <v>44</v>
      </c>
      <c r="B6" s="18">
        <v>859500000</v>
      </c>
      <c r="C6" s="18">
        <v>780700000</v>
      </c>
      <c r="D6" s="18">
        <v>715900000</v>
      </c>
      <c r="E6" s="18">
        <v>586400000</v>
      </c>
      <c r="F6" s="8" t="s">
        <v>85</v>
      </c>
    </row>
    <row r="7" spans="1:6" x14ac:dyDescent="0.25">
      <c r="A7" t="s">
        <v>86</v>
      </c>
      <c r="B7" s="18">
        <v>133200000</v>
      </c>
      <c r="C7" s="18">
        <v>119000000</v>
      </c>
      <c r="D7" s="18">
        <v>111600000</v>
      </c>
      <c r="E7" s="18">
        <v>97900000</v>
      </c>
      <c r="F7" s="8" t="s">
        <v>87</v>
      </c>
    </row>
    <row r="8" spans="1:6" x14ac:dyDescent="0.25">
      <c r="A8" t="s">
        <v>88</v>
      </c>
      <c r="B8" s="18">
        <v>98100000</v>
      </c>
      <c r="C8" s="18">
        <v>92100000</v>
      </c>
      <c r="D8" s="18">
        <v>84200000</v>
      </c>
      <c r="E8" s="18">
        <v>64000000</v>
      </c>
      <c r="F8" s="8" t="s">
        <v>89</v>
      </c>
    </row>
    <row r="9" spans="1:6" x14ac:dyDescent="0.25">
      <c r="A9" t="s">
        <v>90</v>
      </c>
      <c r="B9" s="18">
        <v>19200000</v>
      </c>
      <c r="C9" s="18">
        <v>24100000</v>
      </c>
      <c r="D9" s="18">
        <v>17800000</v>
      </c>
      <c r="E9" s="18">
        <v>69800000</v>
      </c>
      <c r="F9" s="8" t="s">
        <v>91</v>
      </c>
    </row>
    <row r="10" spans="1:6" x14ac:dyDescent="0.25">
      <c r="A10" t="s">
        <v>92</v>
      </c>
      <c r="B10" s="18">
        <v>1980100000</v>
      </c>
      <c r="C10" s="18">
        <v>1999500000</v>
      </c>
      <c r="D10" s="18">
        <v>2015000000</v>
      </c>
      <c r="E10" s="18">
        <v>2094500000</v>
      </c>
      <c r="F10" s="8" t="s">
        <v>93</v>
      </c>
    </row>
    <row r="11" spans="1:6" x14ac:dyDescent="0.25">
      <c r="A11" t="s">
        <v>94</v>
      </c>
      <c r="B11" s="18">
        <v>356200000</v>
      </c>
      <c r="C11" s="18">
        <v>503800000</v>
      </c>
      <c r="D11" s="18">
        <v>468100000</v>
      </c>
      <c r="E11" s="18">
        <v>288000000</v>
      </c>
      <c r="F11" s="8" t="s">
        <v>95</v>
      </c>
    </row>
    <row r="12" spans="1:6" x14ac:dyDescent="0.25">
      <c r="A12" t="s">
        <v>32</v>
      </c>
      <c r="B12" s="34">
        <v>86600000</v>
      </c>
      <c r="C12" s="34">
        <v>87600000</v>
      </c>
      <c r="D12" s="34">
        <v>88300000</v>
      </c>
      <c r="E12" s="34">
        <v>88300000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2026-09-19T00:06:21Z</dcterms:modified>
</cp:coreProperties>
</file>