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<sst xmlns="http://schemas.openxmlformats.org/spreadsheetml/2006/main" count="119" uniqueCount="106">
  <si>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Allegion plc (ALLE)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</si>
  <si>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</si>
  <si>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</si>
  <si>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</si>
  <si>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</si>
  <si>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</si>
  <si>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</si>
  <si>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</si>
  <si>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</si>
  <si>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</si>
  <si>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</si>
  <si>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</si>
  <si>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</si>
  <si>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</si>
  <si>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</si>
  <si>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</si>
  <si>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</si>
  <si>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</si>
  <si>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</si>
  <si>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</si>
  <si>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</si>
  <si>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</si>
  <si>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</si>
  <si>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</si>
  <si>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8.5x interest cover. Book interest / average debt was lower, at 5.1%.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</si>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</sst>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0.10104864898089638</v>
      </c>
    </row>
    <row r="7" spans="1:2" x14ac:dyDescent="0.25">
      <c r="A7" t="s">
        <v>4</v>
      </c>
      <c r="B7" s="5">
        <v>0.19839952290796803</v>
      </c>
    </row>
    <row r="8" spans="1:2" x14ac:dyDescent="0.25">
      <c r="A8" t="s">
        <v>5</v>
      </c>
      <c r="B8" s="5">
        <v>0.1345358360837818</v>
      </c>
    </row>
    <row r="9" spans="1:2" x14ac:dyDescent="0.25">
      <c r="A9" t="s">
        <v>6</v>
      </c>
      <c r="B9" s="5">
        <v>0.031196417639318186</v>
      </c>
    </row>
    <row r="10" spans="1:3" x14ac:dyDescent="0.25">
      <c r="A10" t="s">
        <v>7</v>
      </c>
      <c r="B10" s="5">
        <v>0.022789648297871532</v>
      </c>
      <c r="C10" s="6" t="s">
        <v>8</v>
      </c>
    </row>
    <row r="11" spans="1:2" x14ac:dyDescent="0.25">
      <c r="A11" t="s">
        <v>9</v>
      </c>
      <c r="B11" s="5">
        <v>0.16860687462263024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18.059839226352373</v>
      </c>
    </row>
    <row r="14" spans="1:3" x14ac:dyDescent="0.25">
      <c r="A14" t="s">
        <v>12</v>
      </c>
      <c r="B14" s="5">
        <v>0.1848263457415741</v>
      </c>
      <c r="C14" s="6" t="s">
        <v>13</v>
      </c>
    </row>
    <row r="15" spans="1:3" x14ac:dyDescent="0.25">
      <c r="A15" t="s">
        <v>14</v>
      </c>
      <c r="B15" s="5">
        <v>0.031196417639318186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0.88208</v>
      </c>
      <c r="C19" s="6" t="s">
        <v>21</v>
      </c>
    </row>
    <row r="20" spans="1:2" x14ac:dyDescent="0.25">
      <c r="A20" t="s">
        <v>22</v>
      </c>
      <c r="B20" s="9">
        <f>B17+B19*B18</f>
        <v>0.086251984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16304102400</v>
      </c>
    </row>
    <row r="23" spans="1:2" x14ac:dyDescent="0.25">
      <c r="A23" t="s">
        <v>26</v>
      </c>
      <c r="B23" s="10">
        <v>1980100000</v>
      </c>
    </row>
    <row r="24" spans="1:2" x14ac:dyDescent="0.25">
      <c r="A24" t="s">
        <v>27</v>
      </c>
      <c r="B24" s="9">
        <f>B22/(B22+B23)</f>
        <v>0.8917043272284056</v>
      </c>
    </row>
    <row r="25" spans="1:2" x14ac:dyDescent="0.25">
      <c r="A25" t="s">
        <v>28</v>
      </c>
      <c r="B25" s="9">
        <f>1-B24</f>
        <v>0.10829567277159435</v>
      </c>
    </row>
    <row r="26" spans="1:2" x14ac:dyDescent="0.25">
      <c r="A26" t="s">
        <v>29</v>
      </c>
      <c r="B26" s="11">
        <f>B24*B20+B25*B21*(1-B8)</f>
        <v>0.0818731230696254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4067300000</v>
      </c>
      <c r="C29" s="6" t="s">
        <v>32</v>
      </c>
    </row>
    <row r="30" spans="1:2" x14ac:dyDescent="0.25">
      <c r="A30" t="s">
        <v>33</v>
      </c>
      <c r="B30" s="10">
        <v>1623900000</v>
      </c>
    </row>
    <row r="31" spans="1:2" x14ac:dyDescent="0.25">
      <c r="A31" t="s">
        <v>34</v>
      </c>
      <c r="B31" s="12">
        <v>86600000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0.10104864898089638</v>
      </c>
      <c r="C5" s="5">
        <v>0.059748774889262224</v>
      </c>
      <c r="D5" s="5">
        <v>0.05540517802810445</v>
      </c>
      <c r="E5" s="5">
        <v>0.05106158116694667</v>
      </c>
      <c r="F5" s="5">
        <v>0.04671798430578889</v>
      </c>
      <c r="G5" s="5">
        <v>0.04237438744463111</v>
      </c>
      <c r="H5" s="5">
        <v>0.038030790583473334</v>
      </c>
      <c r="I5" s="5">
        <v>0.03368719372231556</v>
      </c>
      <c r="J5" s="5">
        <v>0.02934359686115778</v>
      </c>
      <c r="K5" s="5">
        <v>0.025</v>
      </c>
    </row>
    <row r="6" spans="1:11" x14ac:dyDescent="0.25">
      <c r="A6" t="s">
        <v>50</v>
      </c>
      <c r="B6" s="18">
        <f>Assumptions!B29*(1+B5)</f>
        <v>4478295170</v>
      </c>
      <c r="C6" s="18">
        <f>B6*(1+C5)</f>
        <v>4745867820</v>
      </c>
      <c r="D6" s="18">
        <f>C6*(1+D5)</f>
        <v>5008813471.4649515</v>
      </c>
      <c r="E6" s="18">
        <f>D6*(1+E5)</f>
        <v>5264571407.088255</v>
      </c>
      <c r="F6" s="18">
        <f>E6*(1+F5)</f>
        <v>5510521571.461309</v>
      </c>
      <c r="G6" s="18">
        <f>F6*(1+G5)</f>
        <v>5744026547.552409</v>
      </c>
      <c r="H6" s="18">
        <f>G6*(1+H5)</f>
        <v>5962476418.288286</v>
      </c>
      <c r="I6" s="18">
        <f>H6*(1+I5)</f>
        <v>6163335516.455902</v>
      </c>
      <c r="J6" s="18">
        <f>I6*(1+J5)</f>
        <v>6344189949.170839</v>
      </c>
      <c r="K6" s="18">
        <f>J6*(1+K5)</f>
        <v>6502794697.900109</v>
      </c>
    </row>
    <row r="7" spans="1:11" x14ac:dyDescent="0.25">
      <c r="A7" t="s">
        <v>4</v>
      </c>
      <c r="B7" s="9">
        <f>Assumptions!B7</f>
        <v>0.19839952290796803</v>
      </c>
      <c r="C7" s="9">
        <f>Assumptions!B7</f>
        <v>0.19839952290796803</v>
      </c>
      <c r="D7" s="9">
        <f>Assumptions!B7</f>
        <v>0.19839952290796803</v>
      </c>
      <c r="E7" s="9">
        <f>Assumptions!B7</f>
        <v>0.19839952290796803</v>
      </c>
      <c r="F7" s="9">
        <f>Assumptions!B7</f>
        <v>0.19839952290796803</v>
      </c>
      <c r="G7" s="9">
        <f>Assumptions!B7</f>
        <v>0.19839952290796803</v>
      </c>
      <c r="H7" s="9">
        <f>Assumptions!B7</f>
        <v>0.19839952290796803</v>
      </c>
      <c r="I7" s="9">
        <f>Assumptions!B7</f>
        <v>0.19839952290796803</v>
      </c>
      <c r="J7" s="9">
        <f>Assumptions!B7</f>
        <v>0.19839952290796803</v>
      </c>
      <c r="K7" s="9">
        <f>Assumptions!B7</f>
        <v>0.19839952290796803</v>
      </c>
    </row>
    <row r="8" spans="1:11" x14ac:dyDescent="0.25">
      <c r="A8" t="s">
        <v>51</v>
      </c>
      <c r="B8" s="18">
        <f>B6*B7</f>
        <v>888491625.1690576</v>
      </c>
      <c r="C8" s="18">
        <f>C6*C7</f>
        <v>941577911.2722783</v>
      </c>
      <c r="D8" s="18">
        <f>D6*D7</f>
        <v>993746203.0736495</v>
      </c>
      <c r="E8" s="18">
        <f>E6*E7</f>
        <v>1044488455.4812397</v>
      </c>
      <c r="F8" s="18">
        <f>F6*F7</f>
        <v>1093284850.75199</v>
      </c>
      <c r="G8" s="18">
        <f>G6*G7</f>
        <v>1139612126.6051006</v>
      </c>
      <c r="H8" s="18">
        <f>H6*H7</f>
        <v>1182952476.738406</v>
      </c>
      <c r="I8" s="18">
        <f>I6*I7</f>
        <v>1222802825.9865856</v>
      </c>
      <c r="J8" s="18">
        <f>J6*J7</f>
        <v>1258684259.1530204</v>
      </c>
      <c r="K8" s="18">
        <f>K6*K7</f>
        <v>1290151365.6318457</v>
      </c>
    </row>
    <row r="9" spans="1:11" x14ac:dyDescent="0.25">
      <c r="A9" t="s">
        <v>52</v>
      </c>
      <c r="B9" s="18">
        <f>B8*(1-Assumptions!B8)</f>
        <v>768957661.5235003</v>
      </c>
      <c r="C9" s="18">
        <f>C8*(1-Assumptions!B8)</f>
        <v>814901939.7412415</v>
      </c>
      <c r="D9" s="18">
        <f>D8*(1-Assumptions!B8)</f>
        <v>860051726.7880524</v>
      </c>
      <c r="E9" s="18">
        <f>E8*(1-Assumptions!B8)</f>
        <v>903967327.8432132</v>
      </c>
      <c r="F9" s="18">
        <f>F8*(1-Assumptions!B8)</f>
        <v>946198859.2783384</v>
      </c>
      <c r="G9" s="18">
        <f>G8*(1-Assumptions!B8)</f>
        <v>986293456.3410668</v>
      </c>
      <c r="H9" s="18">
        <f>H8*(1-Assumptions!B8)</f>
        <v>1023802976.233024</v>
      </c>
      <c r="I9" s="18">
        <f>I8*(1-Assumptions!B8)</f>
        <v>1058292025.4268692</v>
      </c>
      <c r="J9" s="18">
        <f>J8*(1-Assumptions!B8)</f>
        <v>1089346119.9823732</v>
      </c>
      <c r="K9" s="18">
        <f>K8*(1-Assumptions!B8)</f>
        <v>1116579772.9819324</v>
      </c>
    </row>
    <row r="10" spans="1:11" x14ac:dyDescent="0.25">
      <c r="A10" t="s">
        <v>53</v>
      </c>
      <c r="B10" s="18">
        <f>B6*Assumptions!B9</f>
        <v>139706766.43546143</v>
      </c>
      <c r="C10" s="18">
        <f>C6*Assumptions!B9</f>
        <v>148054074.57372054</v>
      </c>
      <c r="D10" s="18">
        <f>D6*Assumptions!B9</f>
        <v>156257036.93326378</v>
      </c>
      <c r="E10" s="18">
        <f>E6*Assumptions!B9</f>
        <v>164235768.3075382</v>
      </c>
      <c r="F10" s="18">
        <f>F6*Assumptions!B9</f>
        <v>171908532.35377896</v>
      </c>
      <c r="G10" s="18">
        <f>G6*Assumptions!B9</f>
        <v>179193051.1087759</v>
      </c>
      <c r="H10" s="18">
        <f>H6*Assumptions!B9</f>
        <v>186007904.50950742</v>
      </c>
      <c r="I10" s="18">
        <f>I6*Assumptions!B9</f>
        <v>192273988.82260117</v>
      </c>
      <c r="J10" s="18">
        <f>J6*Assumptions!B9</f>
        <v>197915999.2374983</v>
      </c>
      <c r="K10" s="18">
        <f>K6*Assumptions!B9</f>
        <v>202863899.21843573</v>
      </c>
    </row>
    <row r="11" spans="1:11" x14ac:dyDescent="0.25">
      <c r="A11" t="s">
        <v>54</v>
      </c>
      <c r="B11" s="18">
        <f>-B6*B19</f>
        <v>-102058771.89835681</v>
      </c>
      <c r="C11" s="18">
        <f>-C6*C19</f>
        <v>-124836965.73585425</v>
      </c>
      <c r="D11" s="18">
        <f>-D6*D19</f>
        <v>-149358062.68954802</v>
      </c>
      <c r="E11" s="18">
        <f>-E6*E19</f>
        <v>-175487916.8924764</v>
      </c>
      <c r="F11" s="18">
        <f>-F6*F19</f>
        <v>-203054195.33580709</v>
      </c>
      <c r="G11" s="18">
        <f>-G6*G19</f>
        <v>-231847029.39344138</v>
      </c>
      <c r="H11" s="18">
        <f>-H6*H19</f>
        <v>-261620678.1474159</v>
      </c>
      <c r="I11" s="18">
        <f>-I6*I19</f>
        <v>-292096227.2559517</v>
      </c>
      <c r="J11" s="18">
        <f>-J6*J19</f>
        <v>-322965313.1241755</v>
      </c>
      <c r="K11" s="18">
        <f>-K6*K19</f>
        <v>-353894826.1815139</v>
      </c>
    </row>
    <row r="12" spans="1:11" x14ac:dyDescent="0.25">
      <c r="A12" t="s">
        <v>55</v>
      </c>
      <c r="B12" s="18">
        <f>-(B6-Assumptions!B29)*Assumptions!B11</f>
        <v>-69296611.0986966</v>
      </c>
      <c r="C12" s="18">
        <f>-(C6-B6)*Assumptions!B11</f>
        <v>-45114588.25099492</v>
      </c>
      <c r="D12" s="18">
        <f>-(D6-C6)*Assumptions!B11</f>
        <v>-44334444.48911691</v>
      </c>
      <c r="E12" s="18">
        <f>-(E6-D6)*Assumptions!B11</f>
        <v>-43122546.185381055</v>
      </c>
      <c r="F12" s="18">
        <f>-(F6-E6)*Assumptions!B11</f>
        <v>-41468888.5278629</v>
      </c>
      <c r="G12" s="18">
        <f>-(G6-F6)*Assumptions!B11</f>
        <v>-39370544.227552325</v>
      </c>
      <c r="H12" s="18">
        <f>-(H6-G6)*Assumptions!B11</f>
        <v>-36832149.9664938</v>
      </c>
      <c r="I12" s="18">
        <f>-(I6-H6)*Assumptions!B11</f>
        <v>-33866224.78156179</v>
      </c>
      <c r="J12" s="18">
        <f>-(J6-I6)*Assumptions!B11</f>
        <v>-30493300.661714334</v>
      </c>
      <c r="K12" s="18">
        <f>-(K6-J6)*Assumptions!B11</f>
        <v>-26741850.983549796</v>
      </c>
    </row>
    <row r="13" spans="1:11" x14ac:dyDescent="0.25">
      <c r="A13" s="19" t="s">
        <v>56</v>
      </c>
      <c r="B13" s="20">
        <f>B9+B10+B11+B12</f>
        <v>737309044.9619083</v>
      </c>
      <c r="C13" s="20">
        <f>C9+C10+C11+C12</f>
        <v>793004460.3281128</v>
      </c>
      <c r="D13" s="20">
        <f>D9+D10+D11+D12</f>
        <v>822616256.5426513</v>
      </c>
      <c r="E13" s="20">
        <f>E9+E10+E11+E12</f>
        <v>849592633.0728939</v>
      </c>
      <c r="F13" s="20">
        <f>F9+F10+F11+F12</f>
        <v>873584307.7684473</v>
      </c>
      <c r="G13" s="20">
        <f>G9+G10+G11+G12</f>
        <v>894268933.828849</v>
      </c>
      <c r="H13" s="20">
        <f>H9+H10+H11+H12</f>
        <v>911358052.6286216</v>
      </c>
      <c r="I13" s="20">
        <f>I9+I10+I11+I12</f>
        <v>924603562.2119567</v>
      </c>
      <c r="J13" s="20">
        <f>J9+J10+J11+J12</f>
        <v>933803505.4339817</v>
      </c>
      <c r="K13" s="20">
        <f>K9+K10+K11+K12</f>
        <v>938806995.0353044</v>
      </c>
    </row>
    <row r="14" spans="1:11" x14ac:dyDescent="0.25">
      <c r="A14" t="s">
        <v>57</v>
      </c>
      <c r="B14" s="21">
        <f>1/(1+Assumptions!$B$26)^(1-0.5*Assumptions!$B$32)</f>
        <v>0.9614170818186843</v>
      </c>
      <c r="C14" s="21">
        <f>1/(1+Assumptions!$B$26)^(2-0.5*Assumptions!$B$32)</f>
        <v>0.8886597340461067</v>
      </c>
      <c r="D14" s="21">
        <f>1/(1+Assumptions!$B$26)^(3-0.5*Assumptions!$B$32)</f>
        <v>0.8214084582531179</v>
      </c>
      <c r="E14" s="21">
        <f>1/(1+Assumptions!$B$26)^(4-0.5*Assumptions!$B$32)</f>
        <v>0.7592465703580058</v>
      </c>
      <c r="F14" s="21">
        <f>1/(1+Assumptions!$B$26)^(5-0.5*Assumptions!$B$32)</f>
        <v>0.7017889197614752</v>
      </c>
      <c r="G14" s="21">
        <f>1/(1+Assumptions!$B$26)^(6-0.5*Assumptions!$B$32)</f>
        <v>0.6486795029811554</v>
      </c>
      <c r="H14" s="21">
        <f>1/(1+Assumptions!$B$26)^(7-0.5*Assumptions!$B$32)</f>
        <v>0.5995892578795571</v>
      </c>
      <c r="I14" s="21">
        <f>1/(1+Assumptions!$B$26)^(8-0.5*Assumptions!$B$32)</f>
        <v>0.554214024818666</v>
      </c>
      <c r="J14" s="21">
        <f>1/(1+Assumptions!$B$26)^(9-0.5*Assumptions!$B$32)</f>
        <v>0.5122726621086405</v>
      </c>
      <c r="K14" s="21">
        <f>1/(1+Assumptions!$B$26)^(10-0.5*Assumptions!$B$32)</f>
        <v>0.4735053040740643</v>
      </c>
    </row>
    <row r="15" spans="1:11" x14ac:dyDescent="0.25">
      <c r="A15" s="19" t="s">
        <v>58</v>
      </c>
      <c r="B15" s="20">
        <f>B13*B14</f>
        <v>708861510.405799</v>
      </c>
      <c r="C15" s="20">
        <f>C13*C14</f>
        <v>704711132.8125571</v>
      </c>
      <c r="D15" s="20">
        <f>D13*D14</f>
        <v>675703951.0206505</v>
      </c>
      <c r="E15" s="20">
        <f>E13*E14</f>
        <v>645050292.8620223</v>
      </c>
      <c r="F15" s="20">
        <f>F13*F14</f>
        <v>613071787.6693947</v>
      </c>
      <c r="G15" s="20">
        <f>G13*G14</f>
        <v>580093927.5275855</v>
      </c>
      <c r="H15" s="20">
        <f>H13*H14</f>
        <v>546440498.4381535</v>
      </c>
      <c r="I15" s="20">
        <f>I13*I14</f>
        <v>512428261.5751644</v>
      </c>
      <c r="J15" s="20">
        <f>J13*J14</f>
        <v>478362007.61504614</v>
      </c>
      <c r="K15" s="20">
        <f>K13*K14</f>
        <v>444530091.65105045</v>
      </c>
    </row>
    <row r="17" spans="1:2" x14ac:dyDescent="0.25">
      <c r="A17" s="22" t="s">
        <v>59</v>
      </c>
      <c r="B17" s="23">
        <f>SUM(B15:K15)</f>
        <v>5909253461.577425</v>
      </c>
    </row>
    <row r="19" spans="1:11" x14ac:dyDescent="0.25">
      <c r="A19" t="s">
        <v>7</v>
      </c>
      <c r="B19" s="9">
        <f>Assumptions!$B$10+($B$20-Assumptions!$B$10)*0/9</f>
        <v>0.022789648297871532</v>
      </c>
      <c r="C19" s="9">
        <f>Assumptions!$B$10+($B$20-Assumptions!$B$10)*1/9</f>
        <v>0.026304349482673593</v>
      </c>
      <c r="D19" s="9">
        <f>Assumptions!$B$10+($B$20-Assumptions!$B$10)*2/9</f>
        <v>0.029819050667475654</v>
      </c>
      <c r="E19" s="9">
        <f>Assumptions!$B$10+($B$20-Assumptions!$B$10)*3/9</f>
        <v>0.033333751852277715</v>
      </c>
      <c r="F19" s="9">
        <f>Assumptions!$B$10+($B$20-Assumptions!$B$10)*4/9</f>
        <v>0.03684845303707977</v>
      </c>
      <c r="G19" s="9">
        <f>Assumptions!$B$10+($B$20-Assumptions!$B$10)*5/9</f>
        <v>0.04036315422188184</v>
      </c>
      <c r="H19" s="9">
        <f>Assumptions!$B$10+($B$20-Assumptions!$B$10)*6/9</f>
        <v>0.043877855406683895</v>
      </c>
      <c r="I19" s="9">
        <f>Assumptions!$B$10+($B$20-Assumptions!$B$10)*7/9</f>
        <v>0.04739255659148596</v>
      </c>
      <c r="J19" s="9">
        <f>Assumptions!$B$10+($B$20-Assumptions!$B$10)*8/9</f>
        <v>0.05090725777628802</v>
      </c>
      <c r="K19" s="9">
        <f>Assumptions!$B$10+($B$20-Assumptions!$B$10)*9/9</f>
        <v>0.054421958961090075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0.054421958961090075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938806995.0353044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1116579772.9819324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0.1352621018377717</v>
      </c>
    </row>
    <row r="7" spans="1:2" x14ac:dyDescent="0.25">
      <c r="A7" t="s">
        <v>66</v>
      </c>
      <c r="B7" s="18">
        <f>-MAX(B5,0)*B6</f>
        <v>-151030926.96307817</v>
      </c>
    </row>
    <row r="8" spans="1:2" x14ac:dyDescent="0.25">
      <c r="A8" t="s">
        <v>67</v>
      </c>
      <c r="B8" s="18">
        <f>IF(OR(Assumptions!$B$33=0,Assumptions!B12&lt;=0),B5,MAX(B5+B7,0))</f>
        <v>965548846.0188543</v>
      </c>
    </row>
    <row r="9" spans="1:2" x14ac:dyDescent="0.25">
      <c r="A9" t="s">
        <v>68</v>
      </c>
      <c r="B9" s="18">
        <f>B8*(1+Assumptions!B12)/(Assumptions!B26-Assumptions!B12)</f>
        <v>17401674354.294334</v>
      </c>
    </row>
    <row r="10" spans="1:2" x14ac:dyDescent="0.25">
      <c r="A10" t="s">
        <v>69</v>
      </c>
      <c r="B10" s="18">
        <f>B9/(1+Assumptions!B26)^(10-0.5*Assumptions!B32)</f>
        <v>8239785106.527986</v>
      </c>
    </row>
    <row r="11" spans="1:2" x14ac:dyDescent="0.25">
      <c r="A11" t="s">
        <v>70</v>
      </c>
      <c r="B11" s="18">
        <f>Forecast!B17+B10</f>
        <v>14149038568.105412</v>
      </c>
    </row>
    <row r="12" spans="1:2" x14ac:dyDescent="0.25">
      <c r="A12" t="s">
        <v>71</v>
      </c>
      <c r="B12" s="18">
        <f>-Assumptions!B30</f>
        <v>-1623900000</v>
      </c>
    </row>
    <row r="13" spans="1:2" x14ac:dyDescent="0.25">
      <c r="A13" t="s">
        <v>72</v>
      </c>
      <c r="B13" s="18">
        <f>B11+B12</f>
        <v>12525138568.105412</v>
      </c>
    </row>
    <row r="14" spans="1:2" x14ac:dyDescent="0.25">
      <c r="A14" s="19" t="s">
        <v>73</v>
      </c>
      <c r="B14" s="24">
        <f>B13/Assumptions!B31</f>
        <v>144.63208508204863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1493015264.8502815</v>
      </c>
    </row>
    <row r="18" spans="1:2" x14ac:dyDescent="0.25">
      <c r="A18" t="s">
        <v>68</v>
      </c>
      <c r="B18" s="18">
        <f>B17*Assumptions!B13</f>
        <v>26963615645.685993</v>
      </c>
    </row>
    <row r="19" spans="1:2" x14ac:dyDescent="0.25">
      <c r="A19" t="s">
        <v>69</v>
      </c>
      <c r="B19" s="18">
        <f>B18/(1+Assumptions!B26)^(10-0.5*Assumptions!B32)</f>
        <v>12767415025.246744</v>
      </c>
    </row>
    <row r="20" spans="1:2" x14ac:dyDescent="0.25">
      <c r="A20" t="s">
        <v>70</v>
      </c>
      <c r="B20" s="18">
        <f>Forecast!B17+B19</f>
        <v>18676668486.82417</v>
      </c>
    </row>
    <row r="21" spans="1:2" x14ac:dyDescent="0.25">
      <c r="A21" t="s">
        <v>71</v>
      </c>
      <c r="B21" s="18">
        <f>-Assumptions!B30</f>
        <v>-1623900000</v>
      </c>
    </row>
    <row r="22" spans="1:2" x14ac:dyDescent="0.25">
      <c r="A22" t="s">
        <v>72</v>
      </c>
      <c r="B22" s="18">
        <f>B20+B21</f>
        <v>17052768486.82417</v>
      </c>
    </row>
    <row r="23" spans="1:2" x14ac:dyDescent="0.25">
      <c r="A23" s="19" t="s">
        <v>73</v>
      </c>
      <c r="B23" s="25">
        <f>B22/Assumptions!B31</f>
        <v>196.91418576009434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191.73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144.63208508204863</v>
      </c>
    </row>
    <row r="29" spans="1:2" x14ac:dyDescent="0.25">
      <c r="A29" s="19" t="s">
        <v>81</v>
      </c>
      <c r="B29" s="11">
        <f>B28/B26-1</f>
        <v>-0.2456470814058903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0.061873</v>
      </c>
      <c r="B5" s="31">
        <v>202.81969719686865</v>
      </c>
      <c r="C5" s="31">
        <v>215.07035727517143</v>
      </c>
      <c r="D5" s="31">
        <v>230.87844541585122</v>
      </c>
      <c r="E5" s="31">
        <v>251.9181504601109</v>
      </c>
      <c r="F5" s="31">
        <v>281.1096619496353</v>
      </c>
    </row>
    <row r="6" spans="1:6" x14ac:dyDescent="0.25">
      <c r="A6" s="30">
        <v>0.071873</v>
      </c>
      <c r="B6" s="31">
        <v>163.81205218047978</v>
      </c>
      <c r="C6" s="31">
        <v>170.39636816935865</v>
      </c>
      <c r="D6" s="31">
        <v>178.56007101967884</v>
      </c>
      <c r="E6" s="31">
        <v>188.86893827118246</v>
      </c>
      <c r="F6" s="31">
        <v>202.19562650233487</v>
      </c>
    </row>
    <row r="7" spans="1:6" x14ac:dyDescent="0.25">
      <c r="A7" s="30">
        <v>0.081873</v>
      </c>
      <c r="B7" s="31">
        <v>136.50705195320845</v>
      </c>
      <c r="C7" s="31">
        <v>140.17887096144474</v>
      </c>
      <c r="D7" s="32">
        <v>144.6324292563955</v>
      </c>
      <c r="E7" s="31">
        <v>150.09378064834195</v>
      </c>
      <c r="F7" s="31">
        <v>156.8854326886449</v>
      </c>
    </row>
    <row r="8" spans="1:6" x14ac:dyDescent="0.25">
      <c r="A8" s="30">
        <v>0.091873</v>
      </c>
      <c r="B8" s="31">
        <v>116.33497011180917</v>
      </c>
      <c r="C8" s="31">
        <v>118.38229727660388</v>
      </c>
      <c r="D8" s="31">
        <v>120.84533354051197</v>
      </c>
      <c r="E8" s="31">
        <v>123.82486012452978</v>
      </c>
      <c r="F8" s="31">
        <v>127.45709904616376</v>
      </c>
    </row>
    <row r="9" spans="1:6" x14ac:dyDescent="0.25">
      <c r="A9" s="30">
        <v>0.101873</v>
      </c>
      <c r="B9" s="31">
        <v>100.83040822536563</v>
      </c>
      <c r="C9" s="31">
        <v>101.91995601695406</v>
      </c>
      <c r="D9" s="31">
        <v>103.24150725882413</v>
      </c>
      <c r="E9" s="31">
        <v>104.84348140966303</v>
      </c>
      <c r="F9" s="31">
        <v>106.78877894701078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4067300000</v>
      </c>
      <c r="C5" s="18">
        <v>3772200000</v>
      </c>
      <c r="D5" s="18">
        <v>3650800000</v>
      </c>
      <c r="E5" s="18">
        <v>3271900000</v>
      </c>
      <c r="F5" s="6" t="s">
        <v>91</v>
      </c>
    </row>
    <row r="6" spans="1:6" x14ac:dyDescent="0.25">
      <c r="A6" t="s">
        <v>51</v>
      </c>
      <c r="B6" s="18">
        <v>859500000</v>
      </c>
      <c r="C6" s="18">
        <v>780700000</v>
      </c>
      <c r="D6" s="18">
        <v>715900000</v>
      </c>
      <c r="E6" s="18">
        <v>586400000</v>
      </c>
      <c r="F6" s="6" t="s">
        <v>92</v>
      </c>
    </row>
    <row r="7" spans="1:6" x14ac:dyDescent="0.25">
      <c r="A7" t="s">
        <v>93</v>
      </c>
      <c r="B7" s="18">
        <v>133200000</v>
      </c>
      <c r="C7" s="18">
        <v>119000000</v>
      </c>
      <c r="D7" s="18">
        <v>111600000</v>
      </c>
      <c r="E7" s="18">
        <v>97900000</v>
      </c>
      <c r="F7" s="6" t="s">
        <v>94</v>
      </c>
    </row>
    <row r="8" spans="1:6" x14ac:dyDescent="0.25">
      <c r="A8" t="s">
        <v>95</v>
      </c>
      <c r="B8" s="18">
        <v>98100000</v>
      </c>
      <c r="C8" s="18">
        <v>92100000</v>
      </c>
      <c r="D8" s="18">
        <v>84200000</v>
      </c>
      <c r="E8" s="18">
        <v>64000000</v>
      </c>
      <c r="F8" s="6" t="s">
        <v>96</v>
      </c>
    </row>
    <row r="9" spans="1:6" x14ac:dyDescent="0.25">
      <c r="A9" t="s">
        <v>97</v>
      </c>
      <c r="B9" s="18">
        <v>19200000</v>
      </c>
      <c r="C9" s="18">
        <v>24100000</v>
      </c>
      <c r="D9" s="18">
        <v>17800000</v>
      </c>
      <c r="E9" s="18">
        <v>69800000</v>
      </c>
      <c r="F9" s="6" t="s">
        <v>98</v>
      </c>
    </row>
    <row r="10" spans="1:6" x14ac:dyDescent="0.25">
      <c r="A10" t="s">
        <v>99</v>
      </c>
      <c r="B10" s="18">
        <v>1980100000</v>
      </c>
      <c r="C10" s="18">
        <v>1999500000</v>
      </c>
      <c r="D10" s="18">
        <v>2015000000</v>
      </c>
      <c r="E10" s="18">
        <v>2094500000</v>
      </c>
      <c r="F10" s="6" t="s">
        <v>100</v>
      </c>
    </row>
    <row r="11" spans="1:6" x14ac:dyDescent="0.25">
      <c r="A11" t="s">
        <v>101</v>
      </c>
      <c r="B11" s="18">
        <v>356200000</v>
      </c>
      <c r="C11" s="18">
        <v>503800000</v>
      </c>
      <c r="D11" s="18">
        <v>468100000</v>
      </c>
      <c r="E11" s="18">
        <v>288000000</v>
      </c>
      <c r="F11" s="6" t="s">
        <v>102</v>
      </c>
    </row>
    <row r="12" spans="1:6" x14ac:dyDescent="0.25">
      <c r="A12" t="s">
        <v>34</v>
      </c>
      <c r="B12" s="34">
        <v>86600000</v>
      </c>
      <c r="C12" s="34">
        <v>87600000</v>
      </c>
      <c r="D12" s="34">
        <v>88300000</v>
      </c>
      <c r="E12" s="34">
        <v>88300000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