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<sst xmlns="http://schemas.openxmlformats.org/spreadsheetml/2006/main" count="112" uniqueCount="100">
  <si>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ALS Limited (ALQ.AX)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</si>
  <si>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</si>
  <si>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</si>
  <si>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</si>
  <si>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</si>
  <si>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</si>
  <si>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</si>
  <si>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</si>
  <si>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</si>
  <si>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</si>
  <si>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</si>
  <si>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</si>
  <si>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</si>
  <si>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</si>
  <si>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</si>
  <si>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</si>
  <si>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</si>
  <si>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</si>
  <si>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</si>
  <si>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</si>
  <si>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</si>
  <si>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</si>
  <si>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</si>
  <si>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</si>
  <si>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</si>
  <si>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</si>
  <si>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</si>
  <si>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</si>
  <si>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</si>
  <si>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</si>
  <si>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2026-03-31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</si>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</sst>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0.1335906178256887</v>
      </c>
    </row>
    <row r="7" spans="1:2" x14ac:dyDescent="0.25">
      <c r="A7" t="s">
        <v>5</v>
      </c>
      <c r="B7" s="6">
        <v>0.16333584577622792</v>
      </c>
    </row>
    <row r="8" spans="1:2" x14ac:dyDescent="0.25">
      <c r="A8" t="s">
        <v>6</v>
      </c>
      <c r="B8" s="6">
        <v>0.29276412797227647</v>
      </c>
    </row>
    <row r="9" spans="1:2" x14ac:dyDescent="0.25">
      <c r="A9" t="s">
        <v>7</v>
      </c>
      <c r="B9" s="6">
        <v>0.07292064529275212</v>
      </c>
    </row>
    <row r="10" spans="1:2" x14ac:dyDescent="0.25">
      <c r="A10" t="s">
        <v>8</v>
      </c>
      <c r="B10" s="6">
        <v>0.06498837678219804</v>
      </c>
    </row>
    <row r="11" spans="1:2" x14ac:dyDescent="0.25">
      <c r="A11" t="s">
        <v>9</v>
      </c>
      <c r="B11" s="6">
        <v>0.0476013387876534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15.696500061412488</v>
      </c>
    </row>
    <row r="14" spans="1:3" x14ac:dyDescent="0.25">
      <c r="A14" t="s">
        <v>12</v>
      </c>
      <c r="B14" s="6">
        <v>0.11289174101657115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1.09916</v>
      </c>
      <c r="C19" s="8" t="s">
        <v>19</v>
      </c>
    </row>
    <row r="20" spans="1:2" x14ac:dyDescent="0.25">
      <c r="A20" t="s">
        <v>20</v>
      </c>
      <c r="B20" s="10">
        <f>B17+B19*B18</f>
        <v>0.1194296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10846184448</v>
      </c>
    </row>
    <row r="23" spans="1:2" x14ac:dyDescent="0.25">
      <c r="A23" t="s">
        <v>24</v>
      </c>
      <c r="B23" s="11">
        <v>1571900000</v>
      </c>
    </row>
    <row r="24" spans="1:2" x14ac:dyDescent="0.25">
      <c r="A24" t="s">
        <v>25</v>
      </c>
      <c r="B24" s="10">
        <f>B22/(B22+B23)</f>
        <v>0.8734184803958904</v>
      </c>
    </row>
    <row r="25" spans="1:2" x14ac:dyDescent="0.25">
      <c r="A25" t="s">
        <v>26</v>
      </c>
      <c r="B25" s="10">
        <f>1-B24</f>
        <v>0.12658151960410957</v>
      </c>
    </row>
    <row r="26" spans="1:2" x14ac:dyDescent="0.25">
      <c r="A26" t="s">
        <v>27</v>
      </c>
      <c r="B26" s="12">
        <f>B24*B20+B25*B21*(1-B8)</f>
        <v>0.1090997093263507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3320100000</v>
      </c>
      <c r="C29" s="8" t="s">
        <v>30</v>
      </c>
    </row>
    <row r="30" spans="1:2" x14ac:dyDescent="0.25">
      <c r="A30" t="s">
        <v>31</v>
      </c>
      <c r="B30" s="11">
        <v>1422200000</v>
      </c>
    </row>
    <row r="31" spans="1:2" x14ac:dyDescent="0.25">
      <c r="A31" t="s">
        <v>32</v>
      </c>
      <c r="B31" s="13">
        <v>505873016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0.1335906178256887</v>
      </c>
      <c r="C5" s="10">
        <f>Assumptions!B6</f>
        <v>0.1335906178256887</v>
      </c>
      <c r="D5" s="10">
        <f>Assumptions!B6</f>
        <v>0.1335906178256887</v>
      </c>
      <c r="E5" s="10">
        <f>Assumptions!B6</f>
        <v>0.1335906178256887</v>
      </c>
      <c r="F5" s="10">
        <f>Assumptions!B6</f>
        <v>0.1335906178256887</v>
      </c>
    </row>
    <row r="6" spans="1:6" x14ac:dyDescent="0.25">
      <c r="A6" t="s">
        <v>43</v>
      </c>
      <c r="B6" s="18">
        <f>Assumptions!B29*(1+B5)</f>
        <v>3763634210.243069</v>
      </c>
      <c r="C6" s="18">
        <f>B6*(1+C5)</f>
        <v>4266420429.659339</v>
      </c>
      <c r="D6" s="18">
        <f>C6*(1+D5)</f>
        <v>4836374170.76167</v>
      </c>
      <c r="E6" s="18">
        <f>D6*(1+E5)</f>
        <v>5482468384.269924</v>
      </c>
      <c r="F6" s="18">
        <f>E6*(1+F5)</f>
        <v>6214874722.934349</v>
      </c>
    </row>
    <row r="7" spans="1:6" x14ac:dyDescent="0.25">
      <c r="A7" t="s">
        <v>5</v>
      </c>
      <c r="B7" s="10">
        <f>Assumptions!B7</f>
        <v>0.16333584577622792</v>
      </c>
      <c r="C7" s="10">
        <f>Assumptions!B7</f>
        <v>0.16333584577622792</v>
      </c>
      <c r="D7" s="10">
        <f>Assumptions!B7</f>
        <v>0.16333584577622792</v>
      </c>
      <c r="E7" s="10">
        <f>Assumptions!B7</f>
        <v>0.16333584577622792</v>
      </c>
      <c r="F7" s="10">
        <f>Assumptions!B7</f>
        <v>0.16333584577622792</v>
      </c>
    </row>
    <row r="8" spans="1:6" x14ac:dyDescent="0.25">
      <c r="A8" t="s">
        <v>44</v>
      </c>
      <c r="B8" s="18">
        <f>B6*B7</f>
        <v>614736376.9223974</v>
      </c>
      <c r="C8" s="18">
        <f>C6*C7</f>
        <v>696859389.3153858</v>
      </c>
      <c r="D8" s="18">
        <f>D6*D7</f>
        <v>789953265.6716603</v>
      </c>
      <c r="E8" s="18">
        <f>E6*E7</f>
        <v>895483610.4861578</v>
      </c>
      <c r="F8" s="18">
        <f>F6*F7</f>
        <v>1015111819.263782</v>
      </c>
    </row>
    <row r="9" spans="1:6" x14ac:dyDescent="0.25">
      <c r="A9" t="s">
        <v>45</v>
      </c>
      <c r="B9" s="18">
        <f>B8*(1-Assumptions!B8)</f>
        <v>434763617.59987503</v>
      </c>
      <c r="C9" s="18">
        <f>C8*(1-Assumptions!B8)</f>
        <v>492843957.88317376</v>
      </c>
      <c r="D9" s="18">
        <f>D8*(1-Assumptions!B8)</f>
        <v>558683286.7084446</v>
      </c>
      <c r="E9" s="18">
        <f>E8*(1-Assumptions!B8)</f>
        <v>633318132.1487122</v>
      </c>
      <c r="F9" s="18">
        <f>F8*(1-Assumptions!B8)</f>
        <v>717923492.7026697</v>
      </c>
    </row>
    <row r="10" spans="1:6" x14ac:dyDescent="0.25">
      <c r="A10" t="s">
        <v>46</v>
      </c>
      <c r="B10" s="18">
        <f>B6*Assumptions!B9</f>
        <v>274446635.2568021</v>
      </c>
      <c r="C10" s="18">
        <f>C6*Assumptions!B9</f>
        <v>311110130.8209398</v>
      </c>
      <c r="D10" s="18">
        <f>D6*Assumptions!B9</f>
        <v>352671525.40913993</v>
      </c>
      <c r="E10" s="18">
        <f>E6*Assumptions!B9</f>
        <v>399785132.37807494</v>
      </c>
      <c r="F10" s="18">
        <f>F6*Assumptions!B9</f>
        <v>453192675.2099868</v>
      </c>
    </row>
    <row r="11" spans="1:6" x14ac:dyDescent="0.25">
      <c r="A11" t="s">
        <v>47</v>
      </c>
      <c r="B11" s="18">
        <f>-B6*Assumptions!B10</f>
        <v>-244592478.12564695</v>
      </c>
      <c r="C11" s="18">
        <f>-C6*Assumptions!B10</f>
        <v>-277267738.3939684</v>
      </c>
      <c r="D11" s="18">
        <f>-D6*Assumptions!B10</f>
        <v>-314308106.86915004</v>
      </c>
      <c r="E11" s="18">
        <f>-E6*Assumptions!B10</f>
        <v>-356296721.05342233</v>
      </c>
      <c r="F11" s="18">
        <f>-F6*Assumptions!B10</f>
        <v>-403894620.1482161</v>
      </c>
    </row>
    <row r="12" spans="1:6" x14ac:dyDescent="0.25">
      <c r="A12" t="s">
        <v>48</v>
      </c>
      <c r="B12" s="18">
        <f>-(B6-Assumptions!B29)*Assumptions!B11</f>
        <v>-21112822.205694627</v>
      </c>
      <c r="C12" s="18">
        <f>-(C6-B6)*Assumptions!B11</f>
        <v>-23933297.168197297</v>
      </c>
      <c r="D12" s="18">
        <f>-(D6-C6)*Assumptions!B11</f>
        <v>-27130561.12350256</v>
      </c>
      <c r="E12" s="18">
        <f>-(E6-D6)*Assumptions!B11</f>
        <v>-30754949.54594887</v>
      </c>
      <c r="F12" s="18">
        <f>-(F6-E6)*Assumptions!B11</f>
        <v>-34863522.256990105</v>
      </c>
    </row>
    <row r="13" spans="1:6" x14ac:dyDescent="0.25">
      <c r="A13" s="19" t="s">
        <v>49</v>
      </c>
      <c r="B13" s="20">
        <f>B9+B10+B11+B12</f>
        <v>443504952.5253355</v>
      </c>
      <c r="C13" s="20">
        <f>C9+C10+C11+C12</f>
        <v>502753053.1419478</v>
      </c>
      <c r="D13" s="20">
        <f>D9+D10+D11+D12</f>
        <v>569916144.1249318</v>
      </c>
      <c r="E13" s="20">
        <f>E9+E10+E11+E12</f>
        <v>646051593.9274158</v>
      </c>
      <c r="F13" s="20">
        <f>F9+F10+F11+F12</f>
        <v>732358025.5074503</v>
      </c>
    </row>
    <row r="14" spans="1:6" x14ac:dyDescent="0.25">
      <c r="A14" t="s">
        <v>50</v>
      </c>
      <c r="B14" s="21">
        <f>1/(1+Assumptions!$B$26)^(1-0.5*Assumptions!$B$32)</f>
        <v>0.9495431481174486</v>
      </c>
      <c r="C14" s="21">
        <f>1/(1+Assumptions!$B$26)^(2-0.5*Assumptions!$B$32)</f>
        <v>0.8561386682665221</v>
      </c>
      <c r="D14" s="21">
        <f>1/(1+Assumptions!$B$26)^(3-0.5*Assumptions!$B$32)</f>
        <v>0.771922182529943</v>
      </c>
      <c r="E14" s="21">
        <f>1/(1+Assumptions!$B$26)^(4-0.5*Assumptions!$B$32)</f>
        <v>0.6959898880496473</v>
      </c>
      <c r="F14" s="21">
        <f>1/(1+Assumptions!$B$26)^(5-0.5*Assumptions!$B$32)</f>
        <v>0.6275268870752662</v>
      </c>
    </row>
    <row r="15" spans="1:6" x14ac:dyDescent="0.25">
      <c r="A15" s="19" t="s">
        <v>51</v>
      </c>
      <c r="B15" s="20">
        <f>B13*B14</f>
        <v>421127088.8265866</v>
      </c>
      <c r="C15" s="20">
        <f>C13*C14</f>
        <v>430426329.3838752</v>
      </c>
      <c r="D15" s="20">
        <f>D13*D14</f>
        <v>439930913.83196694</v>
      </c>
      <c r="E15" s="20">
        <f>E13*E14</f>
        <v>449645376.53183836</v>
      </c>
      <c r="F15" s="20">
        <f>F13*F14</f>
        <v>459574351.97127867</v>
      </c>
    </row>
    <row r="17" spans="1:2" x14ac:dyDescent="0.25">
      <c r="A17" s="22" t="s">
        <v>52</v>
      </c>
      <c r="B17" s="23">
        <f>SUM(B15:F15)</f>
        <v>2200704060.5455456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732358025.5074503</v>
      </c>
    </row>
    <row r="5" spans="1:2" x14ac:dyDescent="0.25">
      <c r="A5" t="s">
        <v>56</v>
      </c>
      <c r="B5" s="18">
        <f>IF(Assumptions!$B$33=0,B4,B4-Forecast!F11-Forecast!F10-Forecast!F12)</f>
        <v>717923492.7026697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0.2214510979711997</v>
      </c>
    </row>
    <row r="7" spans="1:2" x14ac:dyDescent="0.25">
      <c r="A7" t="s">
        <v>58</v>
      </c>
      <c r="B7" s="18">
        <f>-MAX(Forecast!F9,0)*B6</f>
        <v>-158984945.71832478</v>
      </c>
    </row>
    <row r="8" spans="1:2" x14ac:dyDescent="0.25">
      <c r="A8" t="s">
        <v>59</v>
      </c>
      <c r="B8" s="18">
        <f>IF(OR(Assumptions!$B$33=0,Assumptions!B12&lt;=0),B5,MAX(B5+B7,0))</f>
        <v>558938546.984345</v>
      </c>
    </row>
    <row r="9" spans="1:2" x14ac:dyDescent="0.25">
      <c r="A9" t="s">
        <v>60</v>
      </c>
      <c r="B9" s="18">
        <f>B8*(1+Assumptions!B12)/(Assumptions!B26-Assumptions!B12)</f>
        <v>6812294777.806621</v>
      </c>
    </row>
    <row r="10" spans="1:2" x14ac:dyDescent="0.25">
      <c r="A10" t="s">
        <v>61</v>
      </c>
      <c r="B10" s="18">
        <f>B9/(1+Assumptions!B26)^(5-0.5*Assumptions!B32)</f>
        <v>4274898135.7560806</v>
      </c>
    </row>
    <row r="11" spans="1:2" x14ac:dyDescent="0.25">
      <c r="A11" t="s">
        <v>62</v>
      </c>
      <c r="B11" s="18">
        <f>Forecast!B17+B10</f>
        <v>6475602196.301626</v>
      </c>
    </row>
    <row r="12" spans="1:2" x14ac:dyDescent="0.25">
      <c r="A12" t="s">
        <v>63</v>
      </c>
      <c r="B12" s="18">
        <f>-Assumptions!B30</f>
        <v>-1422200000</v>
      </c>
    </row>
    <row r="13" spans="1:2" x14ac:dyDescent="0.25">
      <c r="A13" t="s">
        <v>64</v>
      </c>
      <c r="B13" s="18">
        <f>B11+B12</f>
        <v>5053402196.301626</v>
      </c>
    </row>
    <row r="14" spans="1:2" x14ac:dyDescent="0.25">
      <c r="A14" s="19" t="s">
        <v>65</v>
      </c>
      <c r="B14" s="24">
        <f>B13/Assumptions!B31</f>
        <v>9.989467784345363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1468304494.4737687</v>
      </c>
    </row>
    <row r="18" spans="1:2" x14ac:dyDescent="0.25">
      <c r="A18" t="s">
        <v>60</v>
      </c>
      <c r="B18" s="18">
        <f>B17*Assumptions!B13</f>
        <v>23047241587.67974</v>
      </c>
    </row>
    <row r="19" spans="1:2" x14ac:dyDescent="0.25">
      <c r="A19" t="s">
        <v>61</v>
      </c>
      <c r="B19" s="18">
        <f>B18/(1+Assumptions!B26)^(5-0.5*Assumptions!B32)</f>
        <v>14462763769.188282</v>
      </c>
    </row>
    <row r="20" spans="1:2" x14ac:dyDescent="0.25">
      <c r="A20" t="s">
        <v>62</v>
      </c>
      <c r="B20" s="18">
        <f>Forecast!B17+B19</f>
        <v>16663467829.733828</v>
      </c>
    </row>
    <row r="21" spans="1:2" x14ac:dyDescent="0.25">
      <c r="A21" t="s">
        <v>63</v>
      </c>
      <c r="B21" s="18">
        <f>-Assumptions!B30</f>
        <v>-1422200000</v>
      </c>
    </row>
    <row r="22" spans="1:2" x14ac:dyDescent="0.25">
      <c r="A22" t="s">
        <v>64</v>
      </c>
      <c r="B22" s="18">
        <f>B20+B21</f>
        <v>15241267829.733828</v>
      </c>
    </row>
    <row r="23" spans="1:2" x14ac:dyDescent="0.25">
      <c r="A23" s="19" t="s">
        <v>65</v>
      </c>
      <c r="B23" s="25">
        <f>B22/Assumptions!B31</f>
        <v>30.128643647072543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21.37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9.989467784345363</v>
      </c>
    </row>
    <row r="29" spans="1:2" x14ac:dyDescent="0.25">
      <c r="A29" s="19" t="s">
        <v>73</v>
      </c>
      <c r="B29" s="12">
        <f>B28/B26-1</f>
        <v>-0.5325471322252988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0.0891</v>
      </c>
      <c r="B5" s="31">
        <v>13.227105551929949</v>
      </c>
      <c r="C5" s="31">
        <v>13.486554322456234</v>
      </c>
      <c r="D5" s="31">
        <v>13.779800180020494</v>
      </c>
      <c r="E5" s="31">
        <v>14.11542106549531</v>
      </c>
      <c r="F5" s="31">
        <v>14.50516606240487</v>
      </c>
    </row>
    <row r="6" spans="1:6" x14ac:dyDescent="0.25">
      <c r="A6" s="30">
        <v>0.0991</v>
      </c>
      <c r="B6" s="31">
        <v>11.348534086709423</v>
      </c>
      <c r="C6" s="31">
        <v>11.48323682213318</v>
      </c>
      <c r="D6" s="31">
        <v>11.630573609641505</v>
      </c>
      <c r="E6" s="31">
        <v>11.793287007574028</v>
      </c>
      <c r="F6" s="31">
        <v>11.974975286700836</v>
      </c>
    </row>
    <row r="7" spans="1:6" x14ac:dyDescent="0.25">
      <c r="A7" s="30">
        <v>0.1091</v>
      </c>
      <c r="B7" s="31">
        <v>9.868617705317543</v>
      </c>
      <c r="C7" s="31">
        <v>9.92784547762849</v>
      </c>
      <c r="D7" s="32">
        <v>9.989425710543603</v>
      </c>
      <c r="E7" s="31">
        <v>10.05380450910793</v>
      </c>
      <c r="F7" s="31">
        <v>10.121548384586486</v>
      </c>
    </row>
    <row r="8" spans="1:6" x14ac:dyDescent="0.25">
      <c r="A8" s="30">
        <v>0.1191</v>
      </c>
      <c r="B8" s="31">
        <v>8.730288666194214</v>
      </c>
      <c r="C8" s="31">
        <v>8.7661961408765</v>
      </c>
      <c r="D8" s="31">
        <v>8.802103615558787</v>
      </c>
      <c r="E8" s="31">
        <v>8.838011090241077</v>
      </c>
      <c r="F8" s="31">
        <v>8.873918564923361</v>
      </c>
    </row>
    <row r="9" spans="1:6" x14ac:dyDescent="0.25">
      <c r="A9" s="30">
        <v>0.1291</v>
      </c>
      <c r="B9" s="31">
        <v>7.8076328208576955</v>
      </c>
      <c r="C9" s="31">
        <v>7.839459005618715</v>
      </c>
      <c r="D9" s="31">
        <v>7.871285190379733</v>
      </c>
      <c r="E9" s="31">
        <v>7.903111375140755</v>
      </c>
      <c r="F9" s="31">
        <v>7.93493755990177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3320100000</v>
      </c>
      <c r="C5" s="18">
        <v>2999400000</v>
      </c>
      <c r="D5" s="18">
        <v>2461600000</v>
      </c>
      <c r="E5" s="18">
        <v>2279200000</v>
      </c>
      <c r="F5" s="8" t="s">
        <v>84</v>
      </c>
    </row>
    <row r="6" spans="1:6" x14ac:dyDescent="0.25">
      <c r="A6" t="s">
        <v>44</v>
      </c>
      <c r="B6" s="18">
        <v>528200000</v>
      </c>
      <c r="C6" s="18">
        <v>424500000</v>
      </c>
      <c r="D6" s="18">
        <v>401800000</v>
      </c>
      <c r="E6" s="18">
        <v>431900000</v>
      </c>
      <c r="F6" s="8" t="s">
        <v>85</v>
      </c>
    </row>
    <row r="7" spans="1:6" x14ac:dyDescent="0.25">
      <c r="A7" t="s">
        <v>86</v>
      </c>
      <c r="B7" s="18">
        <v>253400000</v>
      </c>
      <c r="C7" s="18">
        <v>233500000</v>
      </c>
      <c r="D7" s="18">
        <v>173900000</v>
      </c>
      <c r="E7" s="18">
        <v>152400000</v>
      </c>
      <c r="F7" s="8" t="s">
        <v>87</v>
      </c>
    </row>
    <row r="8" spans="1:6" x14ac:dyDescent="0.25">
      <c r="A8" t="s">
        <v>88</v>
      </c>
      <c r="B8" s="18">
        <v>263000000</v>
      </c>
      <c r="C8" s="18">
        <v>165000000</v>
      </c>
      <c r="D8" s="18">
        <v>151700000</v>
      </c>
      <c r="E8" s="18">
        <v>146100000</v>
      </c>
      <c r="F8" s="8" t="s">
        <v>89</v>
      </c>
    </row>
    <row r="9" spans="1:6" x14ac:dyDescent="0.25">
      <c r="A9" t="s">
        <v>90</v>
      </c>
      <c r="B9" s="18">
        <v>7900000</v>
      </c>
      <c r="C9" s="18">
        <v>25600000</v>
      </c>
      <c r="D9" s="18">
        <v>64000000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1571900000</v>
      </c>
      <c r="C10" s="18">
        <v>2093100000</v>
      </c>
      <c r="D10" s="18">
        <v>1871700000</v>
      </c>
      <c r="E10" s="18">
        <v>1448200000</v>
      </c>
      <c r="F10" s="8" t="s">
        <v>93</v>
      </c>
    </row>
    <row r="11" spans="1:6" x14ac:dyDescent="0.25">
      <c r="A11" t="s">
        <v>94</v>
      </c>
      <c r="B11" s="18">
        <v>149700000</v>
      </c>
      <c r="C11" s="18">
        <v>268000000</v>
      </c>
      <c r="D11" s="18">
        <v>299900000</v>
      </c>
      <c r="E11" s="18">
        <v>179600000</v>
      </c>
      <c r="F11" s="8" t="s">
        <v>95</v>
      </c>
    </row>
    <row r="12" spans="1:6" x14ac:dyDescent="0.25">
      <c r="A12" t="s">
        <v>32</v>
      </c>
      <c r="B12" s="34">
        <v>505873016</v>
      </c>
      <c r="C12" s="34">
        <v>488000000</v>
      </c>
      <c r="D12" s="34">
        <v>486792453</v>
      </c>
      <c r="E12" s="34">
        <v>485657105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