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<sst xmlns="http://schemas.openxmlformats.org/spreadsheetml/2006/main" count="132" uniqueCount="105">
  <si>
    <t>Allianz SE (ALV.DE)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</si>
  <si>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</si>
  <si>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</si>
  <si>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</si>
  <si>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</si>
  <si>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</si>
  <si>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</si>
  <si>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</si>
  <si>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</si>
  <si>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</si>
  <si>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</si>
  <si>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</si>
  <si>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</si>
  <si>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</si>
  <si>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</si>
  <si>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</si>
  <si>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</si>
  <si>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</si>
  <si>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</si>
  <si>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</si>
  <si>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</si>
  <si>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</si>
  <si>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</si>
  <si>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</si>
  <si>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</si>
  <si>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</si>
  <si>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</si>
  <si>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</si>
  <si>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</si>
  <si>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</si>
  <si>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</si>
  <si>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</si>
  <si>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</si>
  <si>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</si>
  <si>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</si>
  <si>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</si>
  <si>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</si>
  <si>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</si>
  <si>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</si>
  <si>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</si>
  <si>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</si>
  <si>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</si>
  <si>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</si>
  <si>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</si>
  <si>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</si>
  <si>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</si>
  <si>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</si>
  <si>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</si>
  <si>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</si>
  <si>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</si>
  <si>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</si>
  <si>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</si>
  <si>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</si>
  <si>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</si>
  <si>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</si>
  <si>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</si>
  <si>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</si>
  <si>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</si>
  <si>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</si>
  <si>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</si>
  <si>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</si>
  <si>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</si>
  <si>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</si>
  <si>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</si>
  <si>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</si>
  <si>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</si>
  <si>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</si>
  <si>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</si>
  <si>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</si>
  <si>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</si>
  <si>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</si>
  <si>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</si>
  <si>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</si>
  <si>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</si>
  <si>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</si>
  <si>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</si>
  <si>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</si>
  <si>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</si>
  <si>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</si>
  <si>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</si>
  <si>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</si>
  <si>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</si>
  <si>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</si>
  <si>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</si>
  <si>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</si>
  <si>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</si>
  <si>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</si>
  <si>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</si>
  <si>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</si>
  <si>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</si>
  <si>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</si>
  <si>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</si>
  <si>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</si>
  <si>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</si>
  <si>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</si>
  <si>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</si>
  <si>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</si>
  <si>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</si>
  <si>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</si>
  <si>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</si>
  <si>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</si>
  <si>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Wrong tool: Terminal growth of 2.50% must be below the WACC of 1.94% for a perpetuity to converge.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</si>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</sst>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1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color rgb="FFC00000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0" fontId="9" fillId="0" borderId="1" xfId="0" applyFont="1" applyBorder="1" applyAlignment="1">
      <alignment vertical="top" wrapText="1" indent="1"/>
    </xf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10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0.1984092323628479</v>
      </c>
    </row>
    <row r="7" spans="1:2" x14ac:dyDescent="0.25">
      <c r="A7" t="s">
        <v>5</v>
      </c>
      <c r="B7" s="6">
        <v>0.10760662031444874</v>
      </c>
    </row>
    <row r="8" spans="1:2" x14ac:dyDescent="0.25">
      <c r="A8" t="s">
        <v>6</v>
      </c>
      <c r="B8" s="6">
        <v>0.25433749342831996</v>
      </c>
    </row>
    <row r="9" spans="1:2" x14ac:dyDescent="0.25">
      <c r="A9" t="s">
        <v>7</v>
      </c>
      <c r="B9" s="6">
        <v>0.0193771429755858</v>
      </c>
    </row>
    <row r="10" spans="1:2" x14ac:dyDescent="0.25">
      <c r="A10" t="s">
        <v>8</v>
      </c>
      <c r="B10" s="6">
        <v>0.01707647139532899</v>
      </c>
    </row>
    <row r="11" spans="1:2" x14ac:dyDescent="0.25">
      <c r="A11" t="s">
        <v>9</v>
      </c>
      <c r="B11" s="6">
        <v>-0.10952847489135077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0.10541844545852955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0.7789</v>
      </c>
      <c r="C19" s="8" t="s">
        <v>19</v>
      </c>
    </row>
    <row r="20" spans="1:2" x14ac:dyDescent="0.25">
      <c r="A20" t="s">
        <v>20</v>
      </c>
      <c r="B20" s="10">
        <f>B17+B19*B18</f>
        <v>0.072734</v>
      </c>
    </row>
    <row r="21" spans="1:3" x14ac:dyDescent="0.25">
      <c r="A21" t="s">
        <v>21</v>
      </c>
      <c r="B21" s="6">
        <v>0.026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35275000000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0.01938722517086368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137450000000</v>
      </c>
      <c r="C29" s="8" t="s">
        <v>30</v>
      </c>
    </row>
    <row r="30" spans="1:2" x14ac:dyDescent="0.25">
      <c r="A30" t="s">
        <v>31</v>
      </c>
      <c r="B30" s="11">
        <v>-564827000000</v>
      </c>
    </row>
    <row r="31" spans="1:2" x14ac:dyDescent="0.25">
      <c r="A31" t="s">
        <v>32</v>
      </c>
      <c r="B31" s="13">
        <v>382958691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0.1984092323628479</v>
      </c>
      <c r="C5" s="10">
        <f>Assumptions!B6</f>
        <v>0.1984092323628479</v>
      </c>
      <c r="D5" s="10">
        <f>Assumptions!B6</f>
        <v>0.1984092323628479</v>
      </c>
      <c r="E5" s="10">
        <f>Assumptions!B6</f>
        <v>0.1984092323628479</v>
      </c>
      <c r="F5" s="10">
        <f>Assumptions!B6</f>
        <v>0.1984092323628479</v>
      </c>
    </row>
    <row r="6" spans="1:6" x14ac:dyDescent="0.25">
      <c r="A6" t="s">
        <v>43</v>
      </c>
      <c r="B6" s="18">
        <f>Assumptions!B29*(1+B5)</f>
        <v>164721348988.27344</v>
      </c>
      <c r="C6" s="18">
        <f>B6*(1+C5)</f>
        <v>197403585394.80954</v>
      </c>
      <c r="D6" s="18">
        <f>C6*(1+D5)</f>
        <v>236570279238.6676</v>
      </c>
      <c r="E6" s="18">
        <f>D6*(1+E5)</f>
        <v>283508006742.27625</v>
      </c>
      <c r="F6" s="18">
        <f>E6*(1+F5)</f>
        <v>339758612728.73236</v>
      </c>
    </row>
    <row r="7" spans="1:6" x14ac:dyDescent="0.25">
      <c r="A7" t="s">
        <v>5</v>
      </c>
      <c r="B7" s="10">
        <f>Assumptions!B7</f>
        <v>0.10760662031444874</v>
      </c>
      <c r="C7" s="10">
        <f>Assumptions!B7</f>
        <v>0.10760662031444874</v>
      </c>
      <c r="D7" s="10">
        <f>Assumptions!B7</f>
        <v>0.10760662031444874</v>
      </c>
      <c r="E7" s="10">
        <f>Assumptions!B7</f>
        <v>0.10760662031444874</v>
      </c>
      <c r="F7" s="10">
        <f>Assumptions!B7</f>
        <v>0.10760662031444874</v>
      </c>
    </row>
    <row r="8" spans="1:6" x14ac:dyDescent="0.25">
      <c r="A8" t="s">
        <v>44</v>
      </c>
      <c r="B8" s="18">
        <f>B6*B7</f>
        <v>17725107658.264946</v>
      </c>
      <c r="C8" s="18">
        <f>C6*C7</f>
        <v>21241932662.29013</v>
      </c>
      <c r="D8" s="18">
        <f>D6*D7</f>
        <v>25456528215.718422</v>
      </c>
      <c r="E8" s="18">
        <f>E6*E7</f>
        <v>30507338437.622295</v>
      </c>
      <c r="F8" s="18">
        <f>F6*F7</f>
        <v>36560276038.46454</v>
      </c>
    </row>
    <row r="9" spans="1:6" x14ac:dyDescent="0.25">
      <c r="A9" t="s">
        <v>45</v>
      </c>
      <c r="B9" s="18">
        <f>B8*(1-Assumptions!B8)</f>
        <v>13216948205.71472</v>
      </c>
      <c r="C9" s="18">
        <f>C8*(1-Assumptions!B8)</f>
        <v>15839312753.390099</v>
      </c>
      <c r="D9" s="18">
        <f>D8*(1-Assumptions!B8)</f>
        <v>18981978637.945293</v>
      </c>
      <c r="E9" s="18">
        <f>E8*(1-Assumptions!B8)</f>
        <v>22748178448.228</v>
      </c>
      <c r="F9" s="18">
        <f>F8*(1-Assumptions!B8)</f>
        <v>27261627071.794</v>
      </c>
    </row>
    <row r="10" spans="1:6" x14ac:dyDescent="0.25">
      <c r="A10" t="s">
        <v>46</v>
      </c>
      <c r="B10" s="18">
        <f>B6*Assumptions!B9</f>
        <v>3191829130.4771395</v>
      </c>
      <c r="C10" s="18">
        <f>C6*Assumptions!B9</f>
        <v>3825117498.0884852</v>
      </c>
      <c r="D10" s="18">
        <f>D6*Assumptions!B9</f>
        <v>4584056124.581919</v>
      </c>
      <c r="E10" s="18">
        <f>E6*Assumptions!B9</f>
        <v>5493575181.36843</v>
      </c>
      <c r="F10" s="18">
        <f>F6*Assumptions!B9</f>
        <v>6583551216.031332</v>
      </c>
    </row>
    <row r="11" spans="1:6" x14ac:dyDescent="0.25">
      <c r="A11" t="s">
        <v>47</v>
      </c>
      <c r="B11" s="18">
        <f>-B6*Assumptions!B10</f>
        <v>-2812859404.1982555</v>
      </c>
      <c r="C11" s="18">
        <f>-C6*Assumptions!B10</f>
        <v>-3370956679.329849</v>
      </c>
      <c r="D11" s="18">
        <f>-D6*Assumptions!B10</f>
        <v>-4039785606.404099</v>
      </c>
      <c r="E11" s="18">
        <f>-E6*Assumptions!B10</f>
        <v>-4841316367.481219</v>
      </c>
      <c r="F11" s="18">
        <f>-F6*Assumptions!B10</f>
        <v>-5801878231.578858</v>
      </c>
    </row>
    <row r="12" spans="1:6" x14ac:dyDescent="0.25">
      <c r="A12" t="s">
        <v>48</v>
      </c>
      <c r="B12" s="18">
        <f>-(B6-Assumptions!B29)*Assumptions!B11</f>
        <v>2986989262.9153714</v>
      </c>
      <c r="C12" s="18">
        <f>-(C6-B6)*Assumptions!B11</f>
        <v>3579635509.6464796</v>
      </c>
      <c r="D12" s="18">
        <f>-(D6-C6)*Assumptions!B11</f>
        <v>4289868243.2542305</v>
      </c>
      <c r="E12" s="18">
        <f>-(E6-D6)*Assumptions!B11</f>
        <v>5141017708.336063</v>
      </c>
      <c r="F12" s="18">
        <f>-(F6-E6)*Assumptions!B11</f>
        <v>6161043085.410824</v>
      </c>
    </row>
    <row r="13" spans="1:6" x14ac:dyDescent="0.25">
      <c r="A13" s="19" t="s">
        <v>49</v>
      </c>
      <c r="B13" s="20">
        <f>B9+B10+B11+B12</f>
        <v>16582907194.908976</v>
      </c>
      <c r="C13" s="20">
        <f>C9+C10+C11+C12</f>
        <v>19873109081.795216</v>
      </c>
      <c r="D13" s="20">
        <f>D9+D10+D11+D12</f>
        <v>23816117399.377346</v>
      </c>
      <c r="E13" s="20">
        <f>E9+E10+E11+E12</f>
        <v>28541454970.451275</v>
      </c>
      <c r="F13" s="20">
        <f>F9+F10+F11+F12</f>
        <v>34204343141.6573</v>
      </c>
    </row>
    <row r="14" spans="1:6" x14ac:dyDescent="0.25">
      <c r="A14" t="s">
        <v>50</v>
      </c>
      <c r="B14" s="21">
        <f>1/(1+Assumptions!$B$26)^(1-0.5*Assumptions!$B$32)</f>
        <v>0.9904450973913542</v>
      </c>
      <c r="C14" s="21">
        <f>1/(1+Assumptions!$B$26)^(2-0.5*Assumptions!$B$32)</f>
        <v>0.9716083083396906</v>
      </c>
      <c r="D14" s="21">
        <f>1/(1+Assumptions!$B$26)^(3-0.5*Assumptions!$B$32)</f>
        <v>0.9531297669311436</v>
      </c>
      <c r="E14" s="21">
        <f>1/(1+Assumptions!$B$26)^(4-0.5*Assumptions!$B$32)</f>
        <v>0.9350026598296693</v>
      </c>
      <c r="F14" s="21">
        <f>1/(1+Assumptions!$B$26)^(5-0.5*Assumptions!$B$32)</f>
        <v>0.9172203032787167</v>
      </c>
    </row>
    <row r="15" spans="1:6" x14ac:dyDescent="0.25">
      <c r="A15" s="19" t="s">
        <v>51</v>
      </c>
      <c r="B15" s="20">
        <f>B13*B14</f>
        <v>16424459131.693409</v>
      </c>
      <c r="C15" s="20">
        <f>C13*C14</f>
        <v>19308877896.413193</v>
      </c>
      <c r="D15" s="20">
        <f>D13*D14</f>
        <v>22699850426.073284</v>
      </c>
      <c r="E15" s="20">
        <f>E13*E14</f>
        <v>26686336312.780678</v>
      </c>
      <c r="F15" s="20">
        <f>F13*F14</f>
        <v>31372917989.840202</v>
      </c>
    </row>
    <row r="17" spans="1:2" x14ac:dyDescent="0.25">
      <c r="A17" s="22" t="s">
        <v>52</v>
      </c>
      <c r="B17" s="23">
        <f>SUM(B15:F15)</f>
        <v>116492441756.80078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24" t="str">
        <f>IF(Assumptions!B12&gt;=Assumptions!B26,"Blocked: terminal growth is at or above the WACC, so there is no perpetuity value and the figures below are not a valuation.","")</f>
        <v>Blocked: terminal growth is at or above the WACC, so there is no perpetuity value and the figures below are not a valuation.</v>
      </c>
    </row>
    <row r="4" spans="1:2" x14ac:dyDescent="0.25">
      <c r="A4" t="s">
        <v>55</v>
      </c>
      <c r="B4" s="18">
        <f>Forecast!F13</f>
        <v>34204343141.6573</v>
      </c>
    </row>
    <row r="5" spans="1:2" x14ac:dyDescent="0.25">
      <c r="A5" t="s">
        <v>56</v>
      </c>
      <c r="B5" s="18">
        <f>IF(Assumptions!$B$33=0,B4,B4-Forecast!F11-Forecast!F10-Forecast!F12)</f>
        <v>27261627071.794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0.23715014854620226</v>
      </c>
    </row>
    <row r="7" spans="1:2" x14ac:dyDescent="0.25">
      <c r="A7" t="s">
        <v>58</v>
      </c>
      <c r="B7" s="18">
        <f>-MAX(Forecast!F9,0)*B6</f>
        <v>-6465098909.687116</v>
      </c>
    </row>
    <row r="8" spans="1:2" x14ac:dyDescent="0.25">
      <c r="A8" t="s">
        <v>59</v>
      </c>
      <c r="B8" s="18">
        <f>IF(OR(Assumptions!$B$33=0,Assumptions!B12&lt;=0),B5,MAX(B5+B7,0))</f>
        <v>20796528162.106884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116492441756.80078</v>
      </c>
    </row>
    <row r="12" spans="1:2" x14ac:dyDescent="0.25">
      <c r="A12" t="s">
        <v>63</v>
      </c>
      <c r="B12" s="18">
        <f>-Assumptions!B30</f>
        <v>564827000000</v>
      </c>
    </row>
    <row r="13" spans="1:2" x14ac:dyDescent="0.25">
      <c r="A13" t="s">
        <v>64</v>
      </c>
      <c r="B13" s="18">
        <f>B11+B12</f>
        <v>681319441756.8008</v>
      </c>
    </row>
    <row r="14" spans="1:2" x14ac:dyDescent="0.25">
      <c r="A14" s="19" t="s">
        <v>65</v>
      </c>
      <c r="B14" s="25">
        <f>B13/Assumptions!B31</f>
        <v>1779.0938233513045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43143827254.49587</v>
      </c>
    </row>
    <row r="18" spans="1:2" x14ac:dyDescent="0.25">
      <c r="A18" t="s">
        <v>60</v>
      </c>
      <c r="B18" s="18">
        <f>B17*Assumptions!B13</f>
        <v>345150618035.967</v>
      </c>
    </row>
    <row r="19" spans="1:2" x14ac:dyDescent="0.25">
      <c r="A19" t="s">
        <v>61</v>
      </c>
      <c r="B19" s="18">
        <f>B18/(1+Assumptions!B26)^(5-0.5*Assumptions!B32)</f>
        <v>316579154551.78613</v>
      </c>
    </row>
    <row r="20" spans="1:2" x14ac:dyDescent="0.25">
      <c r="A20" t="s">
        <v>62</v>
      </c>
      <c r="B20" s="18">
        <f>Forecast!B17+B19</f>
        <v>433071596308.5869</v>
      </c>
    </row>
    <row r="21" spans="1:2" x14ac:dyDescent="0.25">
      <c r="A21" t="s">
        <v>63</v>
      </c>
      <c r="B21" s="18">
        <f>-Assumptions!B30</f>
        <v>564827000000</v>
      </c>
    </row>
    <row r="22" spans="1:2" x14ac:dyDescent="0.25">
      <c r="A22" t="s">
        <v>64</v>
      </c>
      <c r="B22" s="18">
        <f>B20+B21</f>
        <v>997898596308.5869</v>
      </c>
    </row>
    <row r="23" spans="1:2" x14ac:dyDescent="0.25">
      <c r="A23" s="19" t="s">
        <v>65</v>
      </c>
      <c r="B23" s="26">
        <f>B22/Assumptions!B31</f>
        <v>2605.760411659092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7">
        <v>443.3</v>
      </c>
    </row>
    <row r="27" spans="1:3" x14ac:dyDescent="0.25">
      <c r="A27" t="s">
        <v>70</v>
      </c>
      <c r="B27" s="28">
        <v>1</v>
      </c>
      <c r="C27" s="8" t="s">
        <v>71</v>
      </c>
    </row>
    <row r="28" spans="1:2" x14ac:dyDescent="0.25">
      <c r="A28" t="s">
        <v>72</v>
      </c>
      <c r="B28" s="29">
        <f>B14*B27</f>
        <v>1779.0938233513045</v>
      </c>
    </row>
    <row r="29" spans="1:2" x14ac:dyDescent="0.25">
      <c r="A29" s="19" t="s">
        <v>73</v>
      </c>
      <c r="B29" s="12">
        <f>B28/B26-1</f>
        <v>3.013295338035878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30">
        <v>0.015</v>
      </c>
      <c r="C4" s="30">
        <v>0.02</v>
      </c>
      <c r="D4" s="30">
        <v>0.025</v>
      </c>
      <c r="E4" s="30">
        <v>0.03</v>
      </c>
      <c r="F4" s="30">
        <v>0.035</v>
      </c>
    </row>
    <row r="5" spans="1:6" x14ac:dyDescent="0.25">
      <c r="A5" s="31">
        <v>-0.000613</v>
      </c>
      <c r="B5" s="32" t="s">
        <v>76</v>
      </c>
      <c r="C5" s="32" t="s">
        <v>76</v>
      </c>
      <c r="D5" s="32" t="s">
        <v>76</v>
      </c>
      <c r="E5" s="32" t="s">
        <v>76</v>
      </c>
      <c r="F5" s="32" t="s">
        <v>76</v>
      </c>
    </row>
    <row r="6" spans="1:6" x14ac:dyDescent="0.25">
      <c r="A6" s="31">
        <v>0.009387</v>
      </c>
      <c r="B6" s="32" t="s">
        <v>76</v>
      </c>
      <c r="C6" s="32" t="s">
        <v>76</v>
      </c>
      <c r="D6" s="32" t="s">
        <v>76</v>
      </c>
      <c r="E6" s="32" t="s">
        <v>76</v>
      </c>
      <c r="F6" s="32" t="s">
        <v>76</v>
      </c>
    </row>
    <row r="7" spans="1:6" x14ac:dyDescent="0.25">
      <c r="A7" s="31">
        <v>0.019387</v>
      </c>
      <c r="B7" s="32">
        <v>14736.341977801152</v>
      </c>
      <c r="C7" s="32" t="s">
        <v>76</v>
      </c>
      <c r="D7" s="33" t="s">
        <v>76</v>
      </c>
      <c r="E7" s="32" t="s">
        <v>76</v>
      </c>
      <c r="F7" s="32" t="s">
        <v>76</v>
      </c>
    </row>
    <row r="8" spans="1:6" x14ac:dyDescent="0.25">
      <c r="A8" s="31">
        <v>0.029387</v>
      </c>
      <c r="B8" s="32">
        <v>5552.082154414339</v>
      </c>
      <c r="C8" s="32">
        <v>7272.6539289076745</v>
      </c>
      <c r="D8" s="32">
        <v>12908.447888318584</v>
      </c>
      <c r="E8" s="32" t="s">
        <v>76</v>
      </c>
      <c r="F8" s="32" t="s">
        <v>76</v>
      </c>
    </row>
    <row r="9" spans="1:6" x14ac:dyDescent="0.25">
      <c r="A9" s="31">
        <v>0.039387</v>
      </c>
      <c r="B9" s="32">
        <v>3898.729646731178</v>
      </c>
      <c r="C9" s="32">
        <v>4313.488881429586</v>
      </c>
      <c r="D9" s="32">
        <v>5014.563266331068</v>
      </c>
      <c r="E9" s="32">
        <v>6459.47141793143</v>
      </c>
      <c r="F9" s="32">
        <v>11191.524596883333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4" t="s">
        <v>84</v>
      </c>
    </row>
    <row r="5" spans="1:6" x14ac:dyDescent="0.25">
      <c r="A5" t="s">
        <v>43</v>
      </c>
      <c r="B5" s="18">
        <v>137450000000</v>
      </c>
      <c r="C5" s="18">
        <v>139947000000</v>
      </c>
      <c r="D5" s="18">
        <v>119667000000</v>
      </c>
      <c r="E5" s="18">
        <v>79860000000</v>
      </c>
      <c r="F5" s="8" t="s">
        <v>85</v>
      </c>
    </row>
    <row r="6" spans="1:6" x14ac:dyDescent="0.25">
      <c r="A6" t="s">
        <v>44</v>
      </c>
      <c r="B6" s="18">
        <v>15460000000</v>
      </c>
      <c r="C6" s="18">
        <v>14016000000</v>
      </c>
      <c r="D6" s="18">
        <v>11582000000</v>
      </c>
      <c r="E6" s="18">
        <v>9664000000</v>
      </c>
      <c r="F6" s="8" t="s">
        <v>86</v>
      </c>
    </row>
    <row r="7" spans="1:6" x14ac:dyDescent="0.25">
      <c r="A7" t="s">
        <v>87</v>
      </c>
      <c r="B7" s="18">
        <v>2178000000</v>
      </c>
      <c r="C7" s="18">
        <v>2154000000</v>
      </c>
      <c r="D7" s="18">
        <v>2272000000</v>
      </c>
      <c r="E7" s="18">
        <v>2179000000</v>
      </c>
      <c r="F7" s="8" t="s">
        <v>88</v>
      </c>
    </row>
    <row r="8" spans="1:6" x14ac:dyDescent="0.25">
      <c r="A8" t="s">
        <v>89</v>
      </c>
      <c r="B8" s="18">
        <v>2265000000</v>
      </c>
      <c r="C8" s="18">
        <v>1915000000</v>
      </c>
      <c r="D8" s="18">
        <v>2140000000</v>
      </c>
      <c r="E8" s="18">
        <v>1618000000</v>
      </c>
      <c r="F8" s="8" t="s">
        <v>90</v>
      </c>
    </row>
    <row r="9" spans="1:6" x14ac:dyDescent="0.25">
      <c r="A9" t="s">
        <v>91</v>
      </c>
      <c r="B9" s="18">
        <v>-15359000000</v>
      </c>
      <c r="C9" s="18">
        <v>-16799000000</v>
      </c>
      <c r="D9" s="18">
        <v>-4360000000</v>
      </c>
      <c r="E9" s="18">
        <v>6800000000</v>
      </c>
      <c r="F9" s="8" t="s">
        <v>92</v>
      </c>
    </row>
    <row r="10" spans="1:6" x14ac:dyDescent="0.25">
      <c r="A10" t="s">
        <v>93</v>
      </c>
      <c r="B10" s="18">
        <v>35275000000</v>
      </c>
      <c r="C10" s="18">
        <v>34839000000</v>
      </c>
      <c r="D10" s="18">
        <v>29983000000</v>
      </c>
      <c r="E10" s="18">
        <v>29498000000</v>
      </c>
      <c r="F10" s="8" t="s">
        <v>94</v>
      </c>
    </row>
    <row r="11" spans="1:6" x14ac:dyDescent="0.25">
      <c r="A11" t="s">
        <v>95</v>
      </c>
      <c r="B11" s="18">
        <v>600102000000</v>
      </c>
      <c r="C11" s="18">
        <v>606519000000</v>
      </c>
      <c r="D11" s="18">
        <v>589942000000</v>
      </c>
      <c r="E11" s="18">
        <v>567788000000</v>
      </c>
      <c r="F11" s="8" t="s">
        <v>96</v>
      </c>
    </row>
    <row r="12" spans="1:6" x14ac:dyDescent="0.25">
      <c r="A12" t="s">
        <v>32</v>
      </c>
      <c r="B12" s="35">
        <v>382958691</v>
      </c>
      <c r="C12" s="35">
        <v>388583250</v>
      </c>
      <c r="D12" s="35">
        <v>396315983</v>
      </c>
      <c r="E12" s="35">
        <v>406260704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6" t="s">
        <v>99</v>
      </c>
      <c r="B16" s="36"/>
      <c r="C16" s="36"/>
      <c r="D16" s="36"/>
      <c r="E16" s="36"/>
      <c r="F16" s="36"/>
    </row>
    <row r="17" ht="54" customHeight="1" spans="1:6" x14ac:dyDescent="0.25">
      <c r="A17" s="36" t="s">
        <v>100</v>
      </c>
      <c r="B17" s="36"/>
      <c r="C17" s="36"/>
      <c r="D17" s="36"/>
      <c r="E17" s="36"/>
      <c r="F17" s="36"/>
    </row>
    <row r="18" ht="22" customHeight="1" spans="1:6" x14ac:dyDescent="0.25">
      <c r="A18" s="36" t="s">
        <v>101</v>
      </c>
      <c r="B18" s="36"/>
      <c r="C18" s="36"/>
      <c r="D18" s="36"/>
      <c r="E18" s="36"/>
      <c r="F18" s="36"/>
    </row>
    <row r="19" ht="22" customHeight="1" spans="1:6" x14ac:dyDescent="0.25">
      <c r="A19" s="36" t="s">
        <v>102</v>
      </c>
      <c r="B19" s="36"/>
      <c r="C19" s="36"/>
      <c r="D19" s="36"/>
      <c r="E19" s="36"/>
      <c r="F19" s="36"/>
    </row>
    <row r="20" ht="22" customHeight="1" spans="1:6" x14ac:dyDescent="0.25">
      <c r="A20" s="36" t="s">
        <v>103</v>
      </c>
      <c r="B20" s="36"/>
      <c r="C20" s="36"/>
      <c r="D20" s="36"/>
      <c r="E20" s="36"/>
      <c r="F20" s="36"/>
    </row>
    <row r="22" spans="1:1" x14ac:dyDescent="0.25">
      <c r="A22" s="37" t="s">
        <v>104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