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<sst xmlns="http://schemas.openxmlformats.org/spreadsheetml/2006/main" count="115" uniqueCount="103">
  <si>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Atlas Arteria Limited (ALX.AX)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</si>
  <si>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</si>
  <si>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</si>
  <si>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</si>
  <si>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</si>
  <si>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</si>
  <si>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</si>
  <si>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</si>
  <si>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</si>
  <si>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</si>
  <si>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</si>
  <si>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</si>
  <si>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</si>
  <si>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</si>
  <si>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</si>
  <si>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</si>
  <si>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</si>
  <si>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</si>
  <si>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</si>
  <si>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</si>
  <si>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</si>
  <si>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</si>
  <si>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</si>
  <si>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</si>
  <si>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</si>
  <si>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</si>
  <si>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</si>
  <si>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</si>
  <si>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</si>
  <si>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</si>
  <si>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</si>
  <si>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</si>
  <si>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</si>
  <si>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</si>
  <si>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</si>
  <si>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</si>
  <si>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</si>
  <si>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</si>
  <si>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</si>
  <si>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</si>
  <si>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</si>
  <si>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</si>
  <si>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</si>
  <si>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</si>
  <si>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</si>
  <si>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</si>
  <si>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</si>
  <si>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</si>
  <si>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</si>
  <si>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</si>
  <si>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</si>
  <si>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</si>
  <si>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</si>
  <si>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</si>
  <si>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</si>
  <si>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</si>
  <si>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</si>
  <si>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</si>
  <si>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</si>
  <si>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</si>
  <si>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</si>
  <si>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</si>
  <si>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</si>
  <si>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</si>
  <si>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</si>
  <si>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</si>
  <si>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</si>
  <si>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</si>
  <si>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</si>
  <si>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</si>
  <si>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</si>
  <si>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</si>
  <si>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</si>
  <si>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</si>
  <si>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</si>
  <si>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</si>
  <si>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</si>
  <si>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</si>
  <si>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</si>
  <si>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</si>
  <si>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</si>
  <si>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</si>
  <si>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</si>
  <si>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</si>
  <si>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</si>
  <si>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</si>
  <si>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</si>
  <si>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</si>
  <si>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</si>
  <si>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</si>
  <si>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</si>
  <si>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</si>
  <si>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</si>
  <si>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</si>
  <si>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</si>
  <si>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</si>
  <si>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</si>
  <si>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</si>
  <si>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</si>
  <si>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Reported capital expenditure averages just 0.51% of revenue, which is too low to be the company's real investment - property trusts and similar structures invest through lines that are not reported as capex. Capex has been set to 50.64%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</si>
  <si>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Free cashflow is negative in at least one forecast year, so terminal value carries most of the valuation.</t>
  </si>
  <si>
    <t>Current EV/EBITDA of 163.5x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</si>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</sst>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0.10828031018454021</v>
      </c>
    </row>
    <row r="7" spans="1:2" x14ac:dyDescent="0.25">
      <c r="A7" t="s">
        <v>5</v>
      </c>
      <c r="B7" s="6">
        <v>-0.11510027758193628</v>
      </c>
    </row>
    <row r="8" spans="1:2" x14ac:dyDescent="0.25">
      <c r="A8" t="s">
        <v>6</v>
      </c>
      <c r="B8" s="6">
        <v>0.013648910139336098</v>
      </c>
    </row>
    <row r="9" spans="1:2" x14ac:dyDescent="0.25">
      <c r="A9" t="s">
        <v>7</v>
      </c>
      <c r="B9" s="6">
        <v>0.5064320476756102</v>
      </c>
    </row>
    <row r="10" spans="1:2" x14ac:dyDescent="0.25">
      <c r="A10" t="s">
        <v>8</v>
      </c>
      <c r="B10" s="6">
        <v>0.5064320476756102</v>
      </c>
    </row>
    <row r="11" spans="1:2" x14ac:dyDescent="0.25">
      <c r="A11" t="s">
        <v>9</v>
      </c>
      <c r="B11" s="6">
        <v>0.0141452161243322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0.08573104987000495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0.68108</v>
      </c>
      <c r="C19" s="8" t="s">
        <v>19</v>
      </c>
    </row>
    <row r="20" spans="1:2" x14ac:dyDescent="0.25">
      <c r="A20" t="s">
        <v>20</v>
      </c>
      <c r="B20" s="10">
        <f>B17+B19*B18</f>
        <v>0.0943448</v>
      </c>
    </row>
    <row r="21" spans="1:3" x14ac:dyDescent="0.25">
      <c r="A21" t="s">
        <v>21</v>
      </c>
      <c r="B21" s="6">
        <v>0.054424803435008086</v>
      </c>
      <c r="C21" s="8" t="s">
        <v>22</v>
      </c>
    </row>
    <row r="22" spans="1:2" x14ac:dyDescent="0.25">
      <c r="A22" t="s">
        <v>23</v>
      </c>
      <c r="B22" s="11">
        <v>6468045824</v>
      </c>
    </row>
    <row r="23" spans="1:2" x14ac:dyDescent="0.25">
      <c r="A23" t="s">
        <v>24</v>
      </c>
      <c r="B23" s="11">
        <v>1738400000</v>
      </c>
    </row>
    <row r="24" spans="1:2" x14ac:dyDescent="0.25">
      <c r="A24" t="s">
        <v>25</v>
      </c>
      <c r="B24" s="10">
        <f>B22/(B22+B23)</f>
        <v>0.7881665172374627</v>
      </c>
    </row>
    <row r="25" spans="1:2" x14ac:dyDescent="0.25">
      <c r="A25" t="s">
        <v>26</v>
      </c>
      <c r="B25" s="10">
        <f>1-B24</f>
        <v>0.21183348276253733</v>
      </c>
    </row>
    <row r="26" spans="1:2" x14ac:dyDescent="0.25">
      <c r="A26" t="s">
        <v>27</v>
      </c>
      <c r="B26" s="12">
        <f>B24*B20+B25*B21*(1-B8)</f>
        <v>0.08573104987000495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158900000</v>
      </c>
      <c r="C29" s="8" t="s">
        <v>30</v>
      </c>
    </row>
    <row r="30" spans="1:2" x14ac:dyDescent="0.25">
      <c r="A30" t="s">
        <v>31</v>
      </c>
      <c r="B30" s="11">
        <v>1464000000</v>
      </c>
    </row>
    <row r="31" spans="1:2" x14ac:dyDescent="0.25">
      <c r="A31" t="s">
        <v>32</v>
      </c>
      <c r="B31" s="13">
        <v>1450833707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0.10828031018454021</v>
      </c>
      <c r="C5" s="10">
        <f>Assumptions!B6</f>
        <v>0.10828031018454021</v>
      </c>
      <c r="D5" s="10">
        <f>Assumptions!B6</f>
        <v>0.10828031018454021</v>
      </c>
      <c r="E5" s="10">
        <f>Assumptions!B6</f>
        <v>0.10828031018454021</v>
      </c>
      <c r="F5" s="10">
        <f>Assumptions!B6</f>
        <v>0.10828031018454021</v>
      </c>
    </row>
    <row r="6" spans="1:6" x14ac:dyDescent="0.25">
      <c r="A6" t="s">
        <v>43</v>
      </c>
      <c r="B6" s="18">
        <f>Assumptions!B29*(1+B5)</f>
        <v>176105741.28832343</v>
      </c>
      <c r="C6" s="18">
        <f>B6*(1+C5)</f>
        <v>195174525.5803015</v>
      </c>
      <c r="D6" s="18">
        <f>C6*(1+D5)</f>
        <v>216308083.75025702</v>
      </c>
      <c r="E6" s="18">
        <f>D6*(1+E5)</f>
        <v>239729990.15415835</v>
      </c>
      <c r="F6" s="18">
        <f>E6*(1+F5)</f>
        <v>265688027.8485874</v>
      </c>
    </row>
    <row r="7" spans="1:6" x14ac:dyDescent="0.25">
      <c r="A7" t="s">
        <v>5</v>
      </c>
      <c r="B7" s="10">
        <f>Assumptions!B7</f>
        <v>-0.11510027758193628</v>
      </c>
      <c r="C7" s="10">
        <f>Assumptions!B7</f>
        <v>-0.11510027758193628</v>
      </c>
      <c r="D7" s="10">
        <f>Assumptions!B7</f>
        <v>-0.11510027758193628</v>
      </c>
      <c r="E7" s="10">
        <f>Assumptions!B7</f>
        <v>-0.11510027758193628</v>
      </c>
      <c r="F7" s="10">
        <f>Assumptions!B7</f>
        <v>-0.11510027758193628</v>
      </c>
    </row>
    <row r="8" spans="1:6" x14ac:dyDescent="0.25">
      <c r="A8" t="s">
        <v>44</v>
      </c>
      <c r="B8" s="18">
        <f>B6*B7</f>
        <v>-20269819.706058685</v>
      </c>
      <c r="C8" s="18">
        <f>C6*C7</f>
        <v>-22464642.071215425</v>
      </c>
      <c r="D8" s="18">
        <f>D6*D7</f>
        <v>-24897120.4828713</v>
      </c>
      <c r="E8" s="18">
        <f>E6*E7</f>
        <v>-27592988.411458477</v>
      </c>
      <c r="F8" s="18">
        <f>F6*F7</f>
        <v>-30580765.755569626</v>
      </c>
    </row>
    <row r="9" spans="1:6" x14ac:dyDescent="0.25">
      <c r="A9" t="s">
        <v>45</v>
      </c>
      <c r="B9" s="18">
        <f>B8*(1-Assumptions!B8)</f>
        <v>-19993158.758350145</v>
      </c>
      <c r="C9" s="18">
        <f>C8*(1-Assumptions!B8)</f>
        <v>-22158024.190273058</v>
      </c>
      <c r="D9" s="18">
        <f>D8*(1-Assumptions!B8)</f>
        <v>-24557301.922672365</v>
      </c>
      <c r="E9" s="18">
        <f>E8*(1-Assumptions!B8)</f>
        <v>-27216374.19215474</v>
      </c>
      <c r="F9" s="18">
        <f>F8*(1-Assumptions!B8)</f>
        <v>-30163371.631779768</v>
      </c>
    </row>
    <row r="10" spans="1:6" x14ac:dyDescent="0.25">
      <c r="A10" t="s">
        <v>46</v>
      </c>
      <c r="B10" s="18">
        <f>B6*Assumptions!B9</f>
        <v>89185591.16807689</v>
      </c>
      <c r="C10" s="18">
        <f>C6*Assumptions!B9</f>
        <v>98842634.64374785</v>
      </c>
      <c r="D10" s="18">
        <f>D6*Assumptions!B9</f>
        <v>109545345.78243005</v>
      </c>
      <c r="E10" s="18">
        <f>E6*Assumptions!B9</f>
        <v>121406949.80302429</v>
      </c>
      <c r="F10" s="18">
        <f>F6*Assumptions!B9</f>
        <v>134552931.98625466</v>
      </c>
    </row>
    <row r="11" spans="1:6" x14ac:dyDescent="0.25">
      <c r="A11" t="s">
        <v>47</v>
      </c>
      <c r="B11" s="18">
        <f>-B6*Assumptions!B10</f>
        <v>-89185591.16807689</v>
      </c>
      <c r="C11" s="18">
        <f>-C6*Assumptions!B10</f>
        <v>-98842634.64374785</v>
      </c>
      <c r="D11" s="18">
        <f>-D6*Assumptions!B10</f>
        <v>-109545345.78243005</v>
      </c>
      <c r="E11" s="18">
        <f>-E6*Assumptions!B10</f>
        <v>-121406949.80302429</v>
      </c>
      <c r="F11" s="18">
        <f>-F6*Assumptions!B10</f>
        <v>-134552931.98625466</v>
      </c>
    </row>
    <row r="12" spans="1:6" x14ac:dyDescent="0.25">
      <c r="A12" t="s">
        <v>48</v>
      </c>
      <c r="B12" s="18">
        <f>-(B6-Assumptions!B29)*Assumptions!B11</f>
        <v>-243378.92910268088</v>
      </c>
      <c r="C12" s="18">
        <f>-(C6-B6)*Assumptions!B11</f>
        <v>-269732.07503830065</v>
      </c>
      <c r="D12" s="18">
        <f>-(D6-C6)*Assumptions!B11</f>
        <v>-298938.74779016734</v>
      </c>
      <c r="E12" s="18">
        <f>-(E6-D6)*Assumptions!B11</f>
        <v>-331307.92812706484</v>
      </c>
      <c r="F12" s="18">
        <f>-(F6-E6)*Assumptions!B11</f>
        <v>-367182.05335126066</v>
      </c>
    </row>
    <row r="13" spans="1:6" x14ac:dyDescent="0.25">
      <c r="A13" s="19" t="s">
        <v>49</v>
      </c>
      <c r="B13" s="20">
        <f>B9+B10+B11+B12</f>
        <v>-20236537.68745283</v>
      </c>
      <c r="C13" s="20">
        <f>C9+C10+C11+C12</f>
        <v>-22427756.26531136</v>
      </c>
      <c r="D13" s="20">
        <f>D9+D10+D11+D12</f>
        <v>-24856240.67046253</v>
      </c>
      <c r="E13" s="20">
        <f>E9+E10+E11+E12</f>
        <v>-27547682.1202818</v>
      </c>
      <c r="F13" s="20">
        <f>F9+F10+F11+F12</f>
        <v>-30530553.68513102</v>
      </c>
    </row>
    <row r="14" spans="1:6" x14ac:dyDescent="0.25">
      <c r="A14" t="s">
        <v>50</v>
      </c>
      <c r="B14" s="21">
        <f>1/(1+Assumptions!$B$26)^(1-0.5*Assumptions!$B$32)</f>
        <v>0.9597074607030194</v>
      </c>
      <c r="C14" s="21">
        <f>1/(1+Assumptions!$B$26)^(2-0.5*Assumptions!$B$32)</f>
        <v>0.8839274337948845</v>
      </c>
      <c r="D14" s="21">
        <f>1/(1+Assumptions!$B$26)^(3-0.5*Assumptions!$B$32)</f>
        <v>0.8141311182918803</v>
      </c>
      <c r="E14" s="21">
        <f>1/(1+Assumptions!$B$26)^(4-0.5*Assumptions!$B$32)</f>
        <v>0.7498460308281287</v>
      </c>
      <c r="F14" s="21">
        <f>1/(1+Assumptions!$B$26)^(5-0.5*Assumptions!$B$32)</f>
        <v>0.6906369960755089</v>
      </c>
    </row>
    <row r="15" spans="1:6" x14ac:dyDescent="0.25">
      <c r="A15" s="19" t="s">
        <v>51</v>
      </c>
      <c r="B15" s="20">
        <f>B13*B14</f>
        <v>-19421156.19744631</v>
      </c>
      <c r="C15" s="20">
        <f>C13*C14</f>
        <v>-19824509.04137381</v>
      </c>
      <c r="D15" s="20">
        <f>D13*D14</f>
        <v>-20236239.013575777</v>
      </c>
      <c r="E15" s="20">
        <f>E13*E14</f>
        <v>-20656520.09640832</v>
      </c>
      <c r="F15" s="20">
        <f>F13*F14</f>
        <v>-21085529.885620944</v>
      </c>
    </row>
    <row r="17" spans="1:2" x14ac:dyDescent="0.25">
      <c r="A17" s="22" t="s">
        <v>52</v>
      </c>
      <c r="B17" s="23">
        <f>SUM(B15:F15)</f>
        <v>-101223954.23442516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-30530553.68513102</v>
      </c>
    </row>
    <row r="5" spans="1:2" x14ac:dyDescent="0.25">
      <c r="A5" t="s">
        <v>56</v>
      </c>
      <c r="B5" s="18">
        <f>IF(Assumptions!$B$33=0,B4,B4-Forecast!F11-Forecast!F10-Forecast!F12)</f>
        <v>-30163371.631779768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0.2916096331248458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-101223954.23442516</v>
      </c>
    </row>
    <row r="12" spans="1:2" x14ac:dyDescent="0.25">
      <c r="A12" t="s">
        <v>63</v>
      </c>
      <c r="B12" s="18">
        <f>-Assumptions!B30</f>
        <v>-1464000000</v>
      </c>
    </row>
    <row r="13" spans="1:2" x14ac:dyDescent="0.25">
      <c r="A13" t="s">
        <v>64</v>
      </c>
      <c r="B13" s="18">
        <f>B11+B12</f>
        <v>-1565223954.234425</v>
      </c>
    </row>
    <row r="14" spans="1:2" x14ac:dyDescent="0.25">
      <c r="A14" s="19" t="s">
        <v>65</v>
      </c>
      <c r="B14" s="24">
        <f>B13/Assumptions!B31</f>
        <v>-1.0788444924339113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103972166.23068504</v>
      </c>
    </row>
    <row r="18" spans="1:2" x14ac:dyDescent="0.25">
      <c r="A18" t="s">
        <v>60</v>
      </c>
      <c r="B18" s="18">
        <f>B17*Assumptions!B13</f>
        <v>2079443324.6137009</v>
      </c>
    </row>
    <row r="19" spans="1:2" x14ac:dyDescent="0.25">
      <c r="A19" t="s">
        <v>61</v>
      </c>
      <c r="B19" s="18">
        <f>B18/(1+Assumptions!B26)^(5-0.5*Assumptions!B32)</f>
        <v>1436140491.2204757</v>
      </c>
    </row>
    <row r="20" spans="1:2" x14ac:dyDescent="0.25">
      <c r="A20" t="s">
        <v>62</v>
      </c>
      <c r="B20" s="18">
        <f>Forecast!B17+B19</f>
        <v>1334916536.9860506</v>
      </c>
    </row>
    <row r="21" spans="1:2" x14ac:dyDescent="0.25">
      <c r="A21" t="s">
        <v>63</v>
      </c>
      <c r="B21" s="18">
        <f>-Assumptions!B30</f>
        <v>-1464000000</v>
      </c>
    </row>
    <row r="22" spans="1:2" x14ac:dyDescent="0.25">
      <c r="A22" t="s">
        <v>64</v>
      </c>
      <c r="B22" s="18">
        <f>B20+B21</f>
        <v>-129083463.0139494</v>
      </c>
    </row>
    <row r="23" spans="1:2" x14ac:dyDescent="0.25">
      <c r="A23" s="19" t="s">
        <v>65</v>
      </c>
      <c r="B23" s="25">
        <f>B22/Assumptions!B31</f>
        <v>-0.08897192172414105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4.45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-1.0788444924339113</v>
      </c>
    </row>
    <row r="29" spans="1:2" x14ac:dyDescent="0.25">
      <c r="A29" s="19" t="s">
        <v>73</v>
      </c>
      <c r="B29" s="12">
        <f>B28/B26-1</f>
        <v>-1.2424369645918902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0.065731</v>
      </c>
      <c r="B5" s="31">
        <v>-1.082245177157352</v>
      </c>
      <c r="C5" s="31">
        <v>-1.082245177157352</v>
      </c>
      <c r="D5" s="31">
        <v>-1.082245177157352</v>
      </c>
      <c r="E5" s="31">
        <v>-1.082245177157352</v>
      </c>
      <c r="F5" s="31">
        <v>-1.082245177157352</v>
      </c>
    </row>
    <row r="6" spans="1:6" x14ac:dyDescent="0.25">
      <c r="A6" s="30">
        <v>0.075731</v>
      </c>
      <c r="B6" s="31">
        <v>-1.0805105411472948</v>
      </c>
      <c r="C6" s="31">
        <v>-1.0805105411472948</v>
      </c>
      <c r="D6" s="31">
        <v>-1.0805105411472948</v>
      </c>
      <c r="E6" s="31">
        <v>-1.0805105411472948</v>
      </c>
      <c r="F6" s="31">
        <v>-1.0805105411472948</v>
      </c>
    </row>
    <row r="7" spans="1:6" x14ac:dyDescent="0.25">
      <c r="A7" s="30">
        <v>0.085731</v>
      </c>
      <c r="B7" s="31">
        <v>-1.0788445005773042</v>
      </c>
      <c r="C7" s="31">
        <v>-1.0788445005773042</v>
      </c>
      <c r="D7" s="32">
        <v>-1.0788445005773042</v>
      </c>
      <c r="E7" s="31">
        <v>-1.0788445005773042</v>
      </c>
      <c r="F7" s="31">
        <v>-1.0788445005773042</v>
      </c>
    </row>
    <row r="8" spans="1:6" x14ac:dyDescent="0.25">
      <c r="A8" s="30">
        <v>0.095731</v>
      </c>
      <c r="B8" s="31">
        <v>-1.0772435661587623</v>
      </c>
      <c r="C8" s="31">
        <v>-1.0772435661587623</v>
      </c>
      <c r="D8" s="31">
        <v>-1.0772435661587623</v>
      </c>
      <c r="E8" s="31">
        <v>-1.0772435661587623</v>
      </c>
      <c r="F8" s="31">
        <v>-1.0772435661587623</v>
      </c>
    </row>
    <row r="9" spans="1:6" x14ac:dyDescent="0.25">
      <c r="A9" s="30">
        <v>0.105731</v>
      </c>
      <c r="B9" s="31">
        <v>-1.0757044608764152</v>
      </c>
      <c r="C9" s="31">
        <v>-1.0757044608764152</v>
      </c>
      <c r="D9" s="31">
        <v>-1.0757044608764152</v>
      </c>
      <c r="E9" s="31">
        <v>-1.0757044608764152</v>
      </c>
      <c r="F9" s="31">
        <v>-1.0757044608764152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158900000</v>
      </c>
      <c r="C5" s="18">
        <v>145000000</v>
      </c>
      <c r="D5" s="18">
        <v>133200000</v>
      </c>
      <c r="E5" s="18">
        <v>116728000</v>
      </c>
      <c r="F5" s="8" t="s">
        <v>84</v>
      </c>
    </row>
    <row r="6" spans="1:6" x14ac:dyDescent="0.25">
      <c r="A6" t="s">
        <v>44</v>
      </c>
      <c r="B6" s="18">
        <v>-23400000</v>
      </c>
      <c r="C6" s="18">
        <v>-8100000</v>
      </c>
      <c r="D6" s="18">
        <v>-5900000</v>
      </c>
      <c r="E6" s="18">
        <v>-24861000</v>
      </c>
      <c r="F6" s="8" t="s">
        <v>85</v>
      </c>
    </row>
    <row r="7" spans="1:6" x14ac:dyDescent="0.25">
      <c r="A7" t="s">
        <v>86</v>
      </c>
      <c r="B7" s="18">
        <v>71900000</v>
      </c>
      <c r="C7" s="18">
        <v>70500000</v>
      </c>
      <c r="D7" s="18">
        <v>69200000</v>
      </c>
      <c r="E7" s="18">
        <v>66245000</v>
      </c>
      <c r="F7" s="8" t="s">
        <v>87</v>
      </c>
    </row>
    <row r="8" spans="1:6" x14ac:dyDescent="0.25">
      <c r="A8" t="s">
        <v>88</v>
      </c>
      <c r="B8" s="18">
        <v>600000</v>
      </c>
      <c r="C8" s="18">
        <v>1100000</v>
      </c>
      <c r="D8" s="18">
        <v>800000</v>
      </c>
      <c r="E8" s="18">
        <v>357000</v>
      </c>
      <c r="F8" s="8" t="s">
        <v>89</v>
      </c>
    </row>
    <row r="9" spans="1:6" x14ac:dyDescent="0.25">
      <c r="A9" t="s">
        <v>90</v>
      </c>
      <c r="B9" s="18">
        <v>400000</v>
      </c>
      <c r="C9" s="18">
        <v>-2300000</v>
      </c>
      <c r="D9" s="18">
        <v>233000</v>
      </c>
      <c r="E9" s="18">
        <v>0</v>
      </c>
      <c r="F9" s="8" t="s">
        <v>91</v>
      </c>
    </row>
    <row r="10" spans="1:6" x14ac:dyDescent="0.25">
      <c r="A10" t="s">
        <v>92</v>
      </c>
      <c r="B10" s="18">
        <v>1738400000</v>
      </c>
      <c r="C10" s="18">
        <v>1848200000</v>
      </c>
      <c r="D10" s="18">
        <v>1720500000</v>
      </c>
      <c r="E10" s="18">
        <v>1735333000</v>
      </c>
      <c r="F10" s="8" t="s">
        <v>93</v>
      </c>
    </row>
    <row r="11" spans="1:6" x14ac:dyDescent="0.25">
      <c r="A11" t="s">
        <v>94</v>
      </c>
      <c r="B11" s="18">
        <v>274400000</v>
      </c>
      <c r="C11" s="18">
        <v>351500000</v>
      </c>
      <c r="D11" s="18">
        <v>305300000</v>
      </c>
      <c r="E11" s="18">
        <v>521665000</v>
      </c>
      <c r="F11" s="8" t="s">
        <v>95</v>
      </c>
    </row>
    <row r="12" spans="1:6" x14ac:dyDescent="0.25">
      <c r="A12" t="s">
        <v>32</v>
      </c>
      <c r="B12" s="34">
        <v>1450833707</v>
      </c>
      <c r="C12" s="34">
        <v>1450833707</v>
      </c>
      <c r="D12" s="34">
        <v>1450833707</v>
      </c>
      <c r="E12" s="34">
        <v>1084244598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