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<sst xmlns="http://schemas.openxmlformats.org/spreadsheetml/2006/main" count="121" uniqueCount="108">
  <si>
    <t>Applied Materials, Inc. (AMAT)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</si>
  <si>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</si>
  <si>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</si>
  <si>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</si>
  <si>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</si>
  <si>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</si>
  <si>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</si>
  <si>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</si>
  <si>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</si>
  <si>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</si>
  <si>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</si>
  <si>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</si>
  <si>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</si>
  <si>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</si>
  <si>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</si>
  <si>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</si>
  <si>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</si>
  <si>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</si>
  <si>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</si>
  <si>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</si>
  <si>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</si>
  <si>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</si>
  <si>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</si>
  <si>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</si>
  <si>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31.5x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</si>
  <si>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</si>
  <si>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</si>
  <si>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</si>
  <si>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</si>
  <si>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</si>
  <si>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</si>
  <si>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</si>
  <si>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</si>
  <si>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</si>
  <si>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</si>
  <si>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</si>
  <si>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</si>
  <si>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</si>
  <si>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</si>
  <si>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</si>
  <si>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</si>
  <si>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</si>
  <si>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</si>
  <si>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</si>
  <si>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</si>
  <si>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</si>
  <si>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</si>
  <si>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</si>
  <si>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</si>
  <si>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</si>
  <si>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</si>
  <si>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</si>
  <si>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</si>
  <si>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</si>
  <si>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</si>
  <si>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</si>
  <si>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</si>
  <si>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</si>
  <si>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</si>
  <si>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</si>
  <si>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</si>
  <si>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</si>
  <si>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</si>
  <si>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</si>
  <si>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</si>
  <si>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</si>
  <si>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</si>
  <si>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</si>
  <si>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</si>
  <si>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</si>
  <si>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</si>
  <si>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</si>
  <si>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</si>
  <si>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</si>
  <si>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</si>
  <si>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</si>
  <si>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</si>
  <si>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</si>
  <si>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</si>
  <si>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</si>
  <si>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</si>
  <si>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</si>
  <si>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</si>
  <si>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</si>
  <si>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</si>
  <si>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</si>
  <si>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</si>
  <si>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</si>
  <si>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</si>
  <si>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</si>
  <si>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</si>
  <si>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</si>
  <si>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</si>
  <si>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</si>
  <si>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</si>
  <si>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</si>
  <si>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</si>
  <si>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</si>
  <si>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</si>
  <si>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</si>
  <si>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</si>
  <si>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</si>
  <si>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</si>
  <si>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</si>
  <si>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</si>
  <si>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4.9% of revenue against depreciation of 1.7%.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</si>
  <si>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33.2x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</si>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</sst>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0.20725638430626048</v>
      </c>
    </row>
    <row r="7" spans="1:2" x14ac:dyDescent="0.25">
      <c r="A7" t="s">
        <v>4</v>
      </c>
      <c r="B7" s="5">
        <v>0.29464629662683384</v>
      </c>
    </row>
    <row r="8" spans="1:2" x14ac:dyDescent="0.25">
      <c r="A8" t="s">
        <v>5</v>
      </c>
      <c r="B8" s="5">
        <v>0.1304684688122669</v>
      </c>
    </row>
    <row r="9" spans="1:2" x14ac:dyDescent="0.25">
      <c r="A9" t="s">
        <v>6</v>
      </c>
      <c r="B9" s="5">
        <v>0.016599872074262046</v>
      </c>
    </row>
    <row r="10" spans="1:3" x14ac:dyDescent="0.25">
      <c r="A10" t="s">
        <v>7</v>
      </c>
      <c r="B10" s="5">
        <v>0.048921645273274056</v>
      </c>
      <c r="C10" s="6" t="s">
        <v>8</v>
      </c>
    </row>
    <row r="11" spans="1:2" x14ac:dyDescent="0.25">
      <c r="A11" t="s">
        <v>9</v>
      </c>
      <c r="B11" s="5">
        <v>0.3446222190942011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0.28841963201780985</v>
      </c>
      <c r="C14" s="6" t="s">
        <v>13</v>
      </c>
    </row>
    <row r="15" spans="1:3" x14ac:dyDescent="0.25">
      <c r="A15" t="s">
        <v>14</v>
      </c>
      <c r="B15" s="5">
        <v>0.016715107169003485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1.45091</v>
      </c>
      <c r="C19" s="6" t="s">
        <v>21</v>
      </c>
    </row>
    <row r="20" spans="1:2" x14ac:dyDescent="0.25">
      <c r="A20" t="s">
        <v>22</v>
      </c>
      <c r="B20" s="9">
        <f>B17+B19*B18</f>
        <v>0.110313493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297226043392</v>
      </c>
    </row>
    <row r="23" spans="1:2" x14ac:dyDescent="0.25">
      <c r="A23" t="s">
        <v>26</v>
      </c>
      <c r="B23" s="10">
        <v>7050000000</v>
      </c>
    </row>
    <row r="24" spans="1:2" x14ac:dyDescent="0.25">
      <c r="A24" t="s">
        <v>27</v>
      </c>
      <c r="B24" s="9">
        <f>B22/(B22+B23)</f>
        <v>0.9768302495280002</v>
      </c>
    </row>
    <row r="25" spans="1:2" x14ac:dyDescent="0.25">
      <c r="A25" t="s">
        <v>28</v>
      </c>
      <c r="B25" s="9">
        <f>1-B24</f>
        <v>0.02316975047199976</v>
      </c>
    </row>
    <row r="26" spans="1:2" x14ac:dyDescent="0.25">
      <c r="A26" t="s">
        <v>29</v>
      </c>
      <c r="B26" s="11">
        <f>B24*B20+B25*B21*(1-B8)</f>
        <v>0.10882412999985225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28368000000</v>
      </c>
      <c r="C29" s="6" t="s">
        <v>32</v>
      </c>
    </row>
    <row r="30" spans="1:2" x14ac:dyDescent="0.25">
      <c r="A30" t="s">
        <v>33</v>
      </c>
      <c r="B30" s="10">
        <v>-1523000000</v>
      </c>
    </row>
    <row r="31" spans="1:2" x14ac:dyDescent="0.25">
      <c r="A31" t="s">
        <v>34</v>
      </c>
      <c r="B31" s="12">
        <v>808000000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0.20725638430626048</v>
      </c>
      <c r="C5" s="5">
        <v>0.3541435644168478</v>
      </c>
      <c r="D5" s="5">
        <v>0.31300061886474184</v>
      </c>
      <c r="E5" s="5">
        <v>0.2718576733126359</v>
      </c>
      <c r="F5" s="5">
        <v>0.23071472776052987</v>
      </c>
      <c r="G5" s="5">
        <v>0.1895717822084239</v>
      </c>
      <c r="H5" s="5">
        <v>0.14842883665631795</v>
      </c>
      <c r="I5" s="5">
        <v>0.10728589110421197</v>
      </c>
      <c r="J5" s="5">
        <v>0.06614294555210598</v>
      </c>
      <c r="K5" s="5">
        <v>0.025000000000000022</v>
      </c>
    </row>
    <row r="6" spans="1:11" x14ac:dyDescent="0.25">
      <c r="A6" t="s">
        <v>50</v>
      </c>
      <c r="B6" s="18">
        <f>Assumptions!B29*(1+B5)</f>
        <v>34247449109.999996</v>
      </c>
      <c r="C6" s="18">
        <f>B6*(1+C5)</f>
        <v>46375962810</v>
      </c>
      <c r="D6" s="18">
        <f>C6*(1+D5)</f>
        <v>60891667869.97825</v>
      </c>
      <c r="E6" s="18">
        <f>D6*(1+E5)</f>
        <v>77445535021.23633</v>
      </c>
      <c r="F6" s="18">
        <f>E6*(1+F5)</f>
        <v>95313360549.92946</v>
      </c>
      <c r="G6" s="18">
        <f>F6*(1+G5)</f>
        <v>113382084177.65367</v>
      </c>
      <c r="H6" s="18">
        <f>G6*(1+H5)</f>
        <v>130211255029.81152</v>
      </c>
      <c r="I6" s="18">
        <f>H6*(1+I5)</f>
        <v>144181085557.48267</v>
      </c>
      <c r="J6" s="18">
        <f>I6*(1+J5)</f>
        <v>153717647249.1548</v>
      </c>
      <c r="K6" s="18">
        <f>J6*(1+K5)</f>
        <v>157560588430.38364</v>
      </c>
    </row>
    <row r="7" spans="1:11" x14ac:dyDescent="0.25">
      <c r="A7" t="s">
        <v>4</v>
      </c>
      <c r="B7" s="9">
        <f>Assumptions!B7</f>
        <v>0.29464629662683384</v>
      </c>
      <c r="C7" s="9">
        <f>Assumptions!B7</f>
        <v>0.29464629662683384</v>
      </c>
      <c r="D7" s="9">
        <f>Assumptions!B7</f>
        <v>0.29464629662683384</v>
      </c>
      <c r="E7" s="9">
        <f>Assumptions!B7</f>
        <v>0.29464629662683384</v>
      </c>
      <c r="F7" s="9">
        <f>Assumptions!B7</f>
        <v>0.29464629662683384</v>
      </c>
      <c r="G7" s="9">
        <f>Assumptions!B7</f>
        <v>0.29464629662683384</v>
      </c>
      <c r="H7" s="9">
        <f>Assumptions!B7</f>
        <v>0.29464629662683384</v>
      </c>
      <c r="I7" s="9">
        <f>Assumptions!B7</f>
        <v>0.29464629662683384</v>
      </c>
      <c r="J7" s="9">
        <f>Assumptions!B7</f>
        <v>0.29464629662683384</v>
      </c>
      <c r="K7" s="9">
        <f>Assumptions!B7</f>
        <v>0.29464629662683384</v>
      </c>
    </row>
    <row r="8" spans="1:11" x14ac:dyDescent="0.25">
      <c r="A8" t="s">
        <v>51</v>
      </c>
      <c r="B8" s="18">
        <f>B6*B7</f>
        <v>10090884049.177456</v>
      </c>
      <c r="C8" s="18">
        <f>C6*C7</f>
        <v>13664505694.470274</v>
      </c>
      <c r="D8" s="18">
        <f>D6*D7</f>
        <v>17941504433.32026</v>
      </c>
      <c r="E8" s="18">
        <f>E6*E7</f>
        <v>22819040084.291046</v>
      </c>
      <c r="F8" s="18">
        <f>F6*F7</f>
        <v>28083728705.09488</v>
      </c>
      <c r="G8" s="18">
        <f>G6*G7</f>
        <v>33407611206.777588</v>
      </c>
      <c r="H8" s="18">
        <f>H6*H7</f>
        <v>38366264073.66615</v>
      </c>
      <c r="I8" s="18">
        <f>I6*I7</f>
        <v>42482422903.14895</v>
      </c>
      <c r="J8" s="18">
        <f>J6*J7</f>
        <v>45292335488.15347</v>
      </c>
      <c r="K8" s="18">
        <f>K6*K7</f>
        <v>46424643875.3573</v>
      </c>
    </row>
    <row r="9" spans="1:11" x14ac:dyDescent="0.25">
      <c r="A9" t="s">
        <v>52</v>
      </c>
      <c r="B9" s="18">
        <f>B8*(1-Assumptions!B8)</f>
        <v>8774341858.319145</v>
      </c>
      <c r="C9" s="18">
        <f>C8*(1-Assumptions!B8)</f>
        <v>11881718559.436235</v>
      </c>
      <c r="D9" s="18">
        <f>D8*(1-Assumptions!B8)</f>
        <v>15600703821.716467</v>
      </c>
      <c r="E9" s="18">
        <f>E8*(1-Assumptions!B8)</f>
        <v>19841874864.72785</v>
      </c>
      <c r="F9" s="18">
        <f>F8*(1-Assumptions!B8)</f>
        <v>24419687622.402042</v>
      </c>
      <c r="G9" s="18">
        <f>G8*(1-Assumptions!B8)</f>
        <v>29048971325.95379</v>
      </c>
      <c r="H9" s="18">
        <f>H8*(1-Assumptions!B8)</f>
        <v>33360676345.927845</v>
      </c>
      <c r="I9" s="18">
        <f>I8*(1-Assumptions!B8)</f>
        <v>36939806235.539925</v>
      </c>
      <c r="J9" s="18">
        <f>J8*(1-Assumptions!B8)</f>
        <v>39383113828.08259</v>
      </c>
      <c r="K9" s="18">
        <f>K8*(1-Assumptions!B8)</f>
        <v>40367691673.784645</v>
      </c>
    </row>
    <row r="10" spans="1:11" x14ac:dyDescent="0.25">
      <c r="A10" t="s">
        <v>53</v>
      </c>
      <c r="B10" s="18">
        <f>B6*Assumptions!B9</f>
        <v>568503274.0957994</v>
      </c>
      <c r="C10" s="18">
        <f>C6*Assumptions!B9</f>
        <v>769835049.9667342</v>
      </c>
      <c r="D10" s="18">
        <f>D6*Assumptions!B9</f>
        <v>1010793897.0300914</v>
      </c>
      <c r="E10" s="18">
        <f>E6*Assumptions!B9</f>
        <v>1285585974.0753043</v>
      </c>
      <c r="F10" s="18">
        <f>F6*Assumptions!B9</f>
        <v>1582189592.0968437</v>
      </c>
      <c r="G10" s="18">
        <f>G6*Assumptions!B9</f>
        <v>1882128092.8622618</v>
      </c>
      <c r="H10" s="18">
        <f>H6*Assumptions!B9</f>
        <v>2161490176.1239815</v>
      </c>
      <c r="I10" s="18">
        <f>I6*Assumptions!B9</f>
        <v>2393387575.7824435</v>
      </c>
      <c r="J10" s="18">
        <f>J6*Assumptions!B9</f>
        <v>2551693279.8925085</v>
      </c>
      <c r="K10" s="18">
        <f>K6*Assumptions!B9</f>
        <v>2615485611.889821</v>
      </c>
    </row>
    <row r="11" spans="1:11" x14ac:dyDescent="0.25">
      <c r="A11" t="s">
        <v>54</v>
      </c>
      <c r="B11" s="18">
        <f>-B6*B19</f>
        <v>-1675441556.873925</v>
      </c>
      <c r="C11" s="18">
        <f>-C6*C19</f>
        <v>-2216671202.818736</v>
      </c>
      <c r="D11" s="18">
        <f>-D6*D19</f>
        <v>-2842060746.608209</v>
      </c>
      <c r="E11" s="18">
        <f>-E6*E19</f>
        <v>-3527663656.7375116</v>
      </c>
      <c r="F11" s="18">
        <f>-F6*F19</f>
        <v>-4234434684.367456</v>
      </c>
      <c r="G11" s="18">
        <f>-G6*G19</f>
        <v>-4909745492.039281</v>
      </c>
      <c r="H11" s="18">
        <f>-H6*H19</f>
        <v>-5492162198.610276</v>
      </c>
      <c r="I11" s="18">
        <f>-I6*I19</f>
        <v>-5919363346.080098</v>
      </c>
      <c r="J11" s="18">
        <f>-J6*J19</f>
        <v>-6138139939.671233</v>
      </c>
      <c r="K11" s="18">
        <f>-K6*K19</f>
        <v>-6114527215.903444</v>
      </c>
    </row>
    <row r="12" spans="1:11" x14ac:dyDescent="0.25">
      <c r="A12" t="s">
        <v>55</v>
      </c>
      <c r="B12" s="18">
        <f>-(B6-Assumptions!B29)*Assumptions!B11</f>
        <v>-2026188799.3396244</v>
      </c>
      <c r="C12" s="18">
        <f>-(C6-B6)*Assumptions!B11</f>
        <v>-4179755305.608421</v>
      </c>
      <c r="D12" s="18">
        <f>-(D6-C6)*Assumptions!B11</f>
        <v>-5002434489.486628</v>
      </c>
      <c r="E12" s="18">
        <f>-(E6-D6)*Assumptions!B11</f>
        <v>-5704830432.25716</v>
      </c>
      <c r="F12" s="18">
        <f>-(F6-E6)*Assumptions!B11</f>
        <v>-6157649684.086244</v>
      </c>
      <c r="G12" s="18">
        <f>-(G6-F6)*Assumptions!B11</f>
        <v>-6226883632.786141</v>
      </c>
      <c r="H12" s="18">
        <f>-(H6-G6)*Assumptions!B11</f>
        <v>-5799706204.586086</v>
      </c>
      <c r="I12" s="18">
        <f>-(I6-H6)*Assumptions!B11</f>
        <v>-4814313996.815944</v>
      </c>
      <c r="J12" s="18">
        <f>-(J6-I6)*Assumptions!B11</f>
        <v>-3286511052.7127943</v>
      </c>
      <c r="K12" s="18">
        <f>-(K6-J6)*Assumptions!B11</f>
        <v>-1324362917.7235773</v>
      </c>
    </row>
    <row r="13" spans="1:11" x14ac:dyDescent="0.25">
      <c r="A13" s="19" t="s">
        <v>56</v>
      </c>
      <c r="B13" s="20">
        <f>B9+B10+B11+B12</f>
        <v>5641214776.201394</v>
      </c>
      <c r="C13" s="20">
        <f>C9+C10+C11+C12</f>
        <v>6255127100.975811</v>
      </c>
      <c r="D13" s="20">
        <f>D9+D10+D11+D12</f>
        <v>8767002482.651722</v>
      </c>
      <c r="E13" s="20">
        <f>E9+E10+E11+E12</f>
        <v>11894966749.808487</v>
      </c>
      <c r="F13" s="20">
        <f>F9+F10+F11+F12</f>
        <v>15609792846.045189</v>
      </c>
      <c r="G13" s="20">
        <f>G9+G10+G11+G12</f>
        <v>19794470293.99063</v>
      </c>
      <c r="H13" s="20">
        <f>H9+H10+H11+H12</f>
        <v>24230298118.855465</v>
      </c>
      <c r="I13" s="20">
        <f>I9+I10+I11+I12</f>
        <v>28599516468.426323</v>
      </c>
      <c r="J13" s="20">
        <f>J9+J10+J11+J12</f>
        <v>32510156115.59107</v>
      </c>
      <c r="K13" s="20">
        <f>K9+K10+K11+K12</f>
        <v>35544287152.04745</v>
      </c>
    </row>
    <row r="14" spans="1:11" x14ac:dyDescent="0.25">
      <c r="A14" t="s">
        <v>57</v>
      </c>
      <c r="B14" s="21">
        <f>1/(1+Assumptions!$B$26)^(1-0.5*Assumptions!$B$32)</f>
        <v>0.9496611371643582</v>
      </c>
      <c r="C14" s="21">
        <f>1/(1+Assumptions!$B$26)^(2-0.5*Assumptions!$B$32)</f>
        <v>0.8564578560934498</v>
      </c>
      <c r="D14" s="21">
        <f>1/(1+Assumptions!$B$26)^(3-0.5*Assumptions!$B$32)</f>
        <v>0.7724018921680249</v>
      </c>
      <c r="E14" s="21">
        <f>1/(1+Assumptions!$B$26)^(4-0.5*Assumptions!$B$32)</f>
        <v>0.6965954936136967</v>
      </c>
      <c r="F14" s="21">
        <f>1/(1+Assumptions!$B$26)^(5-0.5*Assumptions!$B$32)</f>
        <v>0.6282290173589472</v>
      </c>
      <c r="G14" s="21">
        <f>1/(1+Assumptions!$B$26)^(6-0.5*Assumptions!$B$32)</f>
        <v>0.566572281718861</v>
      </c>
      <c r="H14" s="21">
        <f>1/(1+Assumptions!$B$26)^(7-0.5*Assumptions!$B$32)</f>
        <v>0.5109667677586854</v>
      </c>
      <c r="I14" s="21">
        <f>1/(1+Assumptions!$B$26)^(8-0.5*Assumptions!$B$32)</f>
        <v>0.4608185860446179</v>
      </c>
      <c r="J14" s="21">
        <f>1/(1+Assumptions!$B$26)^(9-0.5*Assumptions!$B$32)</f>
        <v>0.41559213366386544</v>
      </c>
      <c r="K14" s="21">
        <f>1/(1+Assumptions!$B$26)^(10-0.5*Assumptions!$B$32)</f>
        <v>0.3748043737683818</v>
      </c>
    </row>
    <row r="15" spans="1:11" x14ac:dyDescent="0.25">
      <c r="A15" s="19" t="s">
        <v>58</v>
      </c>
      <c r="B15" s="20">
        <f>B13*B14</f>
        <v>5357242439.355796</v>
      </c>
      <c r="C15" s="20">
        <f>C13*C14</f>
        <v>5357252746.493779</v>
      </c>
      <c r="D15" s="20">
        <f>D13*D14</f>
        <v>6771649306.241962</v>
      </c>
      <c r="E15" s="20">
        <f>E13*E14</f>
        <v>8285980234.601352</v>
      </c>
      <c r="F15" s="20">
        <f>F13*F14</f>
        <v>9806524820.847692</v>
      </c>
      <c r="G15" s="20">
        <f>G13*G14</f>
        <v>11214998199.882484</v>
      </c>
      <c r="H15" s="20">
        <f>H13*H14</f>
        <v>12380877111.620934</v>
      </c>
      <c r="I15" s="20">
        <f>I13*I14</f>
        <v>13179188740.539982</v>
      </c>
      <c r="J15" s="20">
        <f>J13*J14</f>
        <v>13510965145.823856</v>
      </c>
      <c r="K15" s="20">
        <f>K13*K14</f>
        <v>13322154287.066683</v>
      </c>
    </row>
    <row r="17" spans="1:2" x14ac:dyDescent="0.25">
      <c r="A17" s="22" t="s">
        <v>59</v>
      </c>
      <c r="B17" s="23">
        <f>SUM(B15:K15)</f>
        <v>99186833032.47452</v>
      </c>
    </row>
    <row r="19" spans="1:11" x14ac:dyDescent="0.25">
      <c r="A19" t="s">
        <v>7</v>
      </c>
      <c r="B19" s="9">
        <f>Assumptions!$B$10+($B$20-Assumptions!$B$10)*0/9</f>
        <v>0.048921645273274056</v>
      </c>
      <c r="C19" s="9">
        <f>Assumptions!$B$10+($B$20-Assumptions!$B$10)*1/9</f>
        <v>0.04779784760265414</v>
      </c>
      <c r="D19" s="9">
        <f>Assumptions!$B$10+($B$20-Assumptions!$B$10)*2/9</f>
        <v>0.04667404993203423</v>
      </c>
      <c r="E19" s="9">
        <f>Assumptions!$B$10+($B$20-Assumptions!$B$10)*3/9</f>
        <v>0.04555025226141431</v>
      </c>
      <c r="F19" s="9">
        <f>Assumptions!$B$10+($B$20-Assumptions!$B$10)*4/9</f>
        <v>0.044426454590794404</v>
      </c>
      <c r="G19" s="9">
        <f>Assumptions!$B$10+($B$20-Assumptions!$B$10)*5/9</f>
        <v>0.04330265692017449</v>
      </c>
      <c r="H19" s="9">
        <f>Assumptions!$B$10+($B$20-Assumptions!$B$10)*6/9</f>
        <v>0.04217885924955458</v>
      </c>
      <c r="I19" s="9">
        <f>Assumptions!$B$10+($B$20-Assumptions!$B$10)*7/9</f>
        <v>0.04105506157893466</v>
      </c>
      <c r="J19" s="9">
        <f>Assumptions!$B$10+($B$20-Assumptions!$B$10)*8/9</f>
        <v>0.03993126390831475</v>
      </c>
      <c r="K19" s="9">
        <f>Assumptions!$B$10+($B$20-Assumptions!$B$10)*9/9</f>
        <v>0.038807466237694835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0.038807466237694835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35544287152.04745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40367691673.784645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0.08667925905423891</v>
      </c>
    </row>
    <row r="7" spans="1:2" x14ac:dyDescent="0.25">
      <c r="A7" t="s">
        <v>66</v>
      </c>
      <c r="B7" s="18">
        <f>-MAX(B5,0)*B6</f>
        <v>-3499041604.0136223</v>
      </c>
    </row>
    <row r="8" spans="1:2" x14ac:dyDescent="0.25">
      <c r="A8" t="s">
        <v>67</v>
      </c>
      <c r="B8" s="18">
        <f>IF(OR(Assumptions!$B$33=0,Assumptions!B12&lt;=0),B5,MAX(B5+B7,0))</f>
        <v>36868650069.77103</v>
      </c>
    </row>
    <row r="9" spans="1:2" x14ac:dyDescent="0.25">
      <c r="A9" t="s">
        <v>68</v>
      </c>
      <c r="B9" s="18">
        <f>B8*(1+Assumptions!B12)/(Assumptions!B26-Assumptions!B12)</f>
        <v>450829210175.8993</v>
      </c>
    </row>
    <row r="10" spans="1:2" x14ac:dyDescent="0.25">
      <c r="A10" t="s">
        <v>69</v>
      </c>
      <c r="B10" s="18">
        <f>B9/(1+Assumptions!B26)^(10-0.5*Assumptions!B32)</f>
        <v>168972759796.47214</v>
      </c>
    </row>
    <row r="11" spans="1:2" x14ac:dyDescent="0.25">
      <c r="A11" t="s">
        <v>70</v>
      </c>
      <c r="B11" s="18">
        <f>Forecast!B17+B10</f>
        <v>268159592828.94666</v>
      </c>
    </row>
    <row r="12" spans="1:2" x14ac:dyDescent="0.25">
      <c r="A12" t="s">
        <v>71</v>
      </c>
      <c r="B12" s="18">
        <f>-Assumptions!B30</f>
        <v>1523000000</v>
      </c>
    </row>
    <row r="13" spans="1:2" x14ac:dyDescent="0.25">
      <c r="A13" t="s">
        <v>72</v>
      </c>
      <c r="B13" s="18">
        <f>B11+B12</f>
        <v>269682592828.94666</v>
      </c>
    </row>
    <row r="14" spans="1:2" x14ac:dyDescent="0.25">
      <c r="A14" s="19" t="s">
        <v>73</v>
      </c>
      <c r="B14" s="24">
        <f>B13/Assumptions!B31</f>
        <v>333.7655851843399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49040129487.24712</v>
      </c>
    </row>
    <row r="18" spans="1:2" x14ac:dyDescent="0.25">
      <c r="A18" t="s">
        <v>68</v>
      </c>
      <c r="B18" s="18">
        <f>B17*Assumptions!B13</f>
        <v>980802589744.9425</v>
      </c>
    </row>
    <row r="19" spans="1:2" x14ac:dyDescent="0.25">
      <c r="A19" t="s">
        <v>69</v>
      </c>
      <c r="B19" s="18">
        <f>B18/(1+Assumptions!B26)^(10-0.5*Assumptions!B32)</f>
        <v>367609100439.7603</v>
      </c>
    </row>
    <row r="20" spans="1:2" x14ac:dyDescent="0.25">
      <c r="A20" t="s">
        <v>70</v>
      </c>
      <c r="B20" s="18">
        <f>Forecast!B17+B19</f>
        <v>466795933472.23486</v>
      </c>
    </row>
    <row r="21" spans="1:2" x14ac:dyDescent="0.25">
      <c r="A21" t="s">
        <v>71</v>
      </c>
      <c r="B21" s="18">
        <f>-Assumptions!B30</f>
        <v>1523000000</v>
      </c>
    </row>
    <row r="22" spans="1:2" x14ac:dyDescent="0.25">
      <c r="A22" t="s">
        <v>72</v>
      </c>
      <c r="B22" s="18">
        <f>B20+B21</f>
        <v>468318933472.23486</v>
      </c>
    </row>
    <row r="23" spans="1:2" x14ac:dyDescent="0.25">
      <c r="A23" s="19" t="s">
        <v>73</v>
      </c>
      <c r="B23" s="25">
        <f>B22/Assumptions!B31</f>
        <v>579.6026404359343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374.53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333.7655851843399</v>
      </c>
    </row>
    <row r="29" spans="1:2" x14ac:dyDescent="0.25">
      <c r="A29" s="19" t="s">
        <v>81</v>
      </c>
      <c r="B29" s="11">
        <f>B28/B26-1</f>
        <v>-0.10884152088126475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0.088824</v>
      </c>
      <c r="B5" s="31">
        <v>432.6340041136213</v>
      </c>
      <c r="C5" s="31">
        <v>447.6095203296222</v>
      </c>
      <c r="D5" s="31">
        <v>465.1712058294968</v>
      </c>
      <c r="E5" s="31">
        <v>485.97852850488937</v>
      </c>
      <c r="F5" s="31">
        <v>510.9360022832818</v>
      </c>
    </row>
    <row r="6" spans="1:6" x14ac:dyDescent="0.25">
      <c r="A6" s="30">
        <v>0.098824</v>
      </c>
      <c r="B6" s="31">
        <v>369.25515218250473</v>
      </c>
      <c r="C6" s="31">
        <v>378.9666747543594</v>
      </c>
      <c r="D6" s="31">
        <v>390.1892600244937</v>
      </c>
      <c r="E6" s="31">
        <v>403.2522399188956</v>
      </c>
      <c r="F6" s="31">
        <v>418.5881463904985</v>
      </c>
    </row>
    <row r="7" spans="1:6" x14ac:dyDescent="0.25">
      <c r="A7" s="30">
        <v>0.108824</v>
      </c>
      <c r="B7" s="31">
        <v>320.05320726859827</v>
      </c>
      <c r="C7" s="31">
        <v>326.44702875608607</v>
      </c>
      <c r="D7" s="32">
        <v>333.76622705033736</v>
      </c>
      <c r="E7" s="31">
        <v>342.1868989251958</v>
      </c>
      <c r="F7" s="31">
        <v>351.93284834291086</v>
      </c>
    </row>
    <row r="8" spans="1:6" x14ac:dyDescent="0.25">
      <c r="A8" s="30">
        <v>0.118824</v>
      </c>
      <c r="B8" s="31">
        <v>280.8871037023156</v>
      </c>
      <c r="C8" s="31">
        <v>285.11168455913224</v>
      </c>
      <c r="D8" s="31">
        <v>289.92379967631405</v>
      </c>
      <c r="E8" s="31">
        <v>295.42266789004793</v>
      </c>
      <c r="F8" s="31">
        <v>301.73118116979714</v>
      </c>
    </row>
    <row r="9" spans="1:6" x14ac:dyDescent="0.25">
      <c r="A9" s="30">
        <v>0.128824</v>
      </c>
      <c r="B9" s="31">
        <v>249.0745108531883</v>
      </c>
      <c r="C9" s="31">
        <v>251.84056052036632</v>
      </c>
      <c r="D9" s="31">
        <v>254.99032579503609</v>
      </c>
      <c r="E9" s="31">
        <v>258.58204894741925</v>
      </c>
      <c r="F9" s="31">
        <v>262.68638746563926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28368000000</v>
      </c>
      <c r="C5" s="18">
        <v>27176000000</v>
      </c>
      <c r="D5" s="18">
        <v>26517000000</v>
      </c>
      <c r="E5" s="18">
        <v>25785000000</v>
      </c>
      <c r="F5" s="6" t="s">
        <v>91</v>
      </c>
    </row>
    <row r="6" spans="1:6" x14ac:dyDescent="0.25">
      <c r="A6" t="s">
        <v>51</v>
      </c>
      <c r="B6" s="18">
        <v>8470000000</v>
      </c>
      <c r="C6" s="18">
        <v>7867000000</v>
      </c>
      <c r="D6" s="18">
        <v>7654000000</v>
      </c>
      <c r="E6" s="18">
        <v>7784000000</v>
      </c>
      <c r="F6" s="6" t="s">
        <v>92</v>
      </c>
    </row>
    <row r="7" spans="1:6" x14ac:dyDescent="0.25">
      <c r="A7" t="s">
        <v>93</v>
      </c>
      <c r="B7" s="18">
        <v>435000000</v>
      </c>
      <c r="C7" s="18">
        <v>392000000</v>
      </c>
      <c r="D7" s="18">
        <v>515000000</v>
      </c>
      <c r="E7" s="18">
        <v>444000000</v>
      </c>
      <c r="F7" s="6" t="s">
        <v>94</v>
      </c>
    </row>
    <row r="8" spans="1:6" x14ac:dyDescent="0.25">
      <c r="A8" t="s">
        <v>95</v>
      </c>
      <c r="B8" s="18">
        <v>2260000000</v>
      </c>
      <c r="C8" s="18">
        <v>1190000000</v>
      </c>
      <c r="D8" s="18">
        <v>1106000000</v>
      </c>
      <c r="E8" s="18">
        <v>787000000</v>
      </c>
      <c r="F8" s="6" t="s">
        <v>96</v>
      </c>
    </row>
    <row r="9" spans="1:6" x14ac:dyDescent="0.25">
      <c r="A9" t="s">
        <v>97</v>
      </c>
      <c r="B9" s="18">
        <v>200000000</v>
      </c>
      <c r="C9" s="18">
        <v>-1117000000</v>
      </c>
      <c r="D9" s="18">
        <v>-775000000</v>
      </c>
      <c r="E9" s="18">
        <v>1792000000</v>
      </c>
      <c r="F9" s="6" t="s">
        <v>98</v>
      </c>
    </row>
    <row r="10" spans="1:6" x14ac:dyDescent="0.25">
      <c r="A10" t="s">
        <v>99</v>
      </c>
      <c r="B10" s="18">
        <v>7050000000</v>
      </c>
      <c r="C10" s="18">
        <v>6606000000</v>
      </c>
      <c r="D10" s="18">
        <v>5999000000</v>
      </c>
      <c r="E10" s="18">
        <v>5829000000</v>
      </c>
      <c r="F10" s="6" t="s">
        <v>100</v>
      </c>
    </row>
    <row r="11" spans="1:6" x14ac:dyDescent="0.25">
      <c r="A11" t="s">
        <v>101</v>
      </c>
      <c r="B11" s="18">
        <v>8573000000</v>
      </c>
      <c r="C11" s="18">
        <v>9471000000</v>
      </c>
      <c r="D11" s="18">
        <v>6869000000</v>
      </c>
      <c r="E11" s="18">
        <v>2581000000</v>
      </c>
      <c r="F11" s="6" t="s">
        <v>102</v>
      </c>
    </row>
    <row r="12" spans="1:6" x14ac:dyDescent="0.25">
      <c r="A12" t="s">
        <v>34</v>
      </c>
      <c r="B12" s="34">
        <v>808000000</v>
      </c>
      <c r="C12" s="34">
        <v>834000000</v>
      </c>
      <c r="D12" s="34">
        <v>845000000</v>
      </c>
      <c r="E12" s="34">
        <v>877000000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38" customHeight="1" spans="1:6" x14ac:dyDescent="0.25">
      <c r="A17" s="35" t="s">
        <v>106</v>
      </c>
      <c r="B17" s="35"/>
      <c r="C17" s="35"/>
      <c r="D17" s="35"/>
      <c r="E17" s="35"/>
      <c r="F17" s="35"/>
    </row>
    <row r="19" spans="1:1" x14ac:dyDescent="0.25">
      <c r="A19" s="36" t="s">
        <v>107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