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<sst xmlns="http://schemas.openxmlformats.org/spreadsheetml/2006/main" count="113" uniqueCount="101">
  <si>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Applied Materials, Inc. (AMAT)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</si>
  <si>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</si>
  <si>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</si>
  <si>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</si>
  <si>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</si>
  <si>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</si>
  <si>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</si>
  <si>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</si>
  <si>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</si>
  <si>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</si>
  <si>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</si>
  <si>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</si>
  <si>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</si>
  <si>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</si>
  <si>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</si>
  <si>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</si>
  <si>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</si>
  <si>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</si>
  <si>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</si>
  <si>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</si>
  <si>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</si>
  <si>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</si>
  <si>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</si>
  <si>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</si>
  <si>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</si>
  <si>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</si>
  <si>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</si>
  <si>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</si>
  <si>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</si>
  <si>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</si>
  <si>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</si>
  <si>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</si>
  <si>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</si>
  <si>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</si>
  <si>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</si>
  <si>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</si>
  <si>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</si>
  <si>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</si>
  <si>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</si>
  <si>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</si>
  <si>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</si>
  <si>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</si>
  <si>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</si>
  <si>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</si>
  <si>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</si>
  <si>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</si>
  <si>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</si>
  <si>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</si>
  <si>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</si>
  <si>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</si>
  <si>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</si>
  <si>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</si>
  <si>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</si>
  <si>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</si>
  <si>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</si>
  <si>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</si>
  <si>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</si>
  <si>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</si>
  <si>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</si>
  <si>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</si>
  <si>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</si>
  <si>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</si>
  <si>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</si>
  <si>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</si>
  <si>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</si>
  <si>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</si>
  <si>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</si>
  <si>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</si>
  <si>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</si>
  <si>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</si>
  <si>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</si>
  <si>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</si>
  <si>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</si>
  <si>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</si>
  <si>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</si>
  <si>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</si>
  <si>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</si>
  <si>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</si>
  <si>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</si>
  <si>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</si>
  <si>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</si>
  <si>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</si>
  <si>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</si>
  <si>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</si>
  <si>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</si>
  <si>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</si>
  <si>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</si>
  <si>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</si>
  <si>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</si>
  <si>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</si>
  <si>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</si>
  <si>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</si>
  <si>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</si>
  <si>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</si>
  <si>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</si>
  <si>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</si>
  <si>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</si>
  <si>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</si>
  <si>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4.9% of revenue against depreciation of 1.7%. A perpetuity has to be a steady state, so the terminal year uses maintenance capex at depreciation and then charges the reinvestment terminal growth requires (g/ROIC of NOPAT). The bridge is shown under Terminal Value.</t>
  </si>
  <si>
    <t>Current EV/EBITDA of 39.4x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</si>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</sst>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0.032334704568867556</v>
      </c>
    </row>
    <row r="7" spans="1:2" x14ac:dyDescent="0.25">
      <c r="A7" t="s">
        <v>5</v>
      </c>
      <c r="B7" s="6">
        <v>0.29464629662683384</v>
      </c>
    </row>
    <row r="8" spans="1:2" x14ac:dyDescent="0.25">
      <c r="A8" t="s">
        <v>6</v>
      </c>
      <c r="B8" s="6">
        <v>0.1304684688122669</v>
      </c>
    </row>
    <row r="9" spans="1:2" x14ac:dyDescent="0.25">
      <c r="A9" t="s">
        <v>7</v>
      </c>
      <c r="B9" s="6">
        <v>0.016599872074262046</v>
      </c>
    </row>
    <row r="10" spans="1:2" x14ac:dyDescent="0.25">
      <c r="A10" t="s">
        <v>8</v>
      </c>
      <c r="B10" s="6">
        <v>0.048921645273274056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0.28841963201780985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1.3999899999999998</v>
      </c>
      <c r="C19" s="8" t="s">
        <v>19</v>
      </c>
    </row>
    <row r="20" spans="1:2" x14ac:dyDescent="0.25">
      <c r="A20" t="s">
        <v>20</v>
      </c>
      <c r="B20" s="10">
        <f>B17+B19*B18</f>
        <v>0.12697945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352809615360</v>
      </c>
    </row>
    <row r="23" spans="1:2" x14ac:dyDescent="0.25">
      <c r="A23" t="s">
        <v>24</v>
      </c>
      <c r="B23" s="11">
        <v>7050000000</v>
      </c>
    </row>
    <row r="24" spans="1:2" x14ac:dyDescent="0.25">
      <c r="A24" t="s">
        <v>25</v>
      </c>
      <c r="B24" s="10">
        <f>B22/(B22+B23)</f>
        <v>0.9804090270230872</v>
      </c>
    </row>
    <row r="25" spans="1:2" x14ac:dyDescent="0.25">
      <c r="A25" t="s">
        <v>26</v>
      </c>
      <c r="B25" s="10">
        <f>1-B24</f>
        <v>0.019590972976912813</v>
      </c>
    </row>
    <row r="26" spans="1:2" x14ac:dyDescent="0.25">
      <c r="A26" t="s">
        <v>27</v>
      </c>
      <c r="B26" s="12">
        <f>B24*B20+B25*B21*(1-B8)</f>
        <v>0.12534320676355576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28368000000</v>
      </c>
      <c r="C29" s="8" t="s">
        <v>30</v>
      </c>
    </row>
    <row r="30" spans="1:2" x14ac:dyDescent="0.25">
      <c r="A30" t="s">
        <v>31</v>
      </c>
      <c r="B30" s="11">
        <v>-1523000000</v>
      </c>
    </row>
    <row r="31" spans="1:2" x14ac:dyDescent="0.25">
      <c r="A31" t="s">
        <v>32</v>
      </c>
      <c r="B31" s="13">
        <v>808000000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0.032334704568867556</v>
      </c>
      <c r="C5" s="10">
        <f>Assumptions!B6</f>
        <v>0.032334704568867556</v>
      </c>
      <c r="D5" s="10">
        <f>Assumptions!B6</f>
        <v>0.032334704568867556</v>
      </c>
      <c r="E5" s="10">
        <f>Assumptions!B6</f>
        <v>0.032334704568867556</v>
      </c>
      <c r="F5" s="10">
        <f>Assumptions!B6</f>
        <v>0.032334704568867556</v>
      </c>
    </row>
    <row r="6" spans="1:6" x14ac:dyDescent="0.25">
      <c r="A6" t="s">
        <v>43</v>
      </c>
      <c r="B6" s="18">
        <f>Assumptions!B29*(1+B5)</f>
        <v>29285270899.209637</v>
      </c>
      <c r="C6" s="18">
        <f>B6*(1+C5)</f>
        <v>30232201481.954834</v>
      </c>
      <c r="D6" s="18">
        <f>C6*(1+D5)</f>
        <v>31209750785.340324</v>
      </c>
      <c r="E6" s="18">
        <f>D6*(1+E5)</f>
        <v>32218908856.652287</v>
      </c>
      <c r="F6" s="18">
        <f>E6*(1+F5)</f>
        <v>33260697756.063408</v>
      </c>
    </row>
    <row r="7" spans="1:6" x14ac:dyDescent="0.25">
      <c r="A7" t="s">
        <v>5</v>
      </c>
      <c r="B7" s="10">
        <f>Assumptions!B7</f>
        <v>0.29464629662683384</v>
      </c>
      <c r="C7" s="10">
        <f>Assumptions!B7</f>
        <v>0.29464629662683384</v>
      </c>
      <c r="D7" s="10">
        <f>Assumptions!B7</f>
        <v>0.29464629662683384</v>
      </c>
      <c r="E7" s="10">
        <f>Assumptions!B7</f>
        <v>0.29464629662683384</v>
      </c>
      <c r="F7" s="10">
        <f>Assumptions!B7</f>
        <v>0.29464629662683384</v>
      </c>
    </row>
    <row r="8" spans="1:6" x14ac:dyDescent="0.25">
      <c r="A8" t="s">
        <v>44</v>
      </c>
      <c r="B8" s="18">
        <f>B6*B7</f>
        <v>8628796616.165707</v>
      </c>
      <c r="C8" s="18">
        <f>C6*C7</f>
        <v>8907806205.53427</v>
      </c>
      <c r="D8" s="18">
        <f>D6*D7</f>
        <v>9195837487.546946</v>
      </c>
      <c r="E8" s="18">
        <f>E6*E7</f>
        <v>9493182175.970093</v>
      </c>
      <c r="F8" s="18">
        <f>F6*F7</f>
        <v>9800141417.048525</v>
      </c>
    </row>
    <row r="9" spans="1:6" x14ac:dyDescent="0.25">
      <c r="A9" t="s">
        <v>45</v>
      </c>
      <c r="B9" s="18">
        <f>B8*(1-Assumptions!B8)</f>
        <v>7503010733.962097</v>
      </c>
      <c r="C9" s="18">
        <f>C8*(1-Assumptions!B8)</f>
        <v>7745618369.421803</v>
      </c>
      <c r="D9" s="18">
        <f>D8*(1-Assumptions!B8)</f>
        <v>7996070651.100252</v>
      </c>
      <c r="E9" s="18">
        <f>E8*(1-Assumptions!B8)</f>
        <v>8254621233.315371</v>
      </c>
      <c r="F9" s="18">
        <f>F8*(1-Assumptions!B8)</f>
        <v>8521531972.222524</v>
      </c>
    </row>
    <row r="10" spans="1:6" x14ac:dyDescent="0.25">
      <c r="A10" t="s">
        <v>46</v>
      </c>
      <c r="B10" s="18">
        <f>B6*Assumptions!B9</f>
        <v>486131750.586989</v>
      </c>
      <c r="C10" s="18">
        <f>C6*Assumptions!B9</f>
        <v>501850677.1237657</v>
      </c>
      <c r="D10" s="18">
        <f>D6*Assumptions!B9</f>
        <v>518077870.50624883</v>
      </c>
      <c r="E10" s="18">
        <f>E6*Assumptions!B9</f>
        <v>534829765.3927364</v>
      </c>
      <c r="F10" s="18">
        <f>F6*Assumptions!B9</f>
        <v>552123327.8513472</v>
      </c>
    </row>
    <row r="11" spans="1:6" x14ac:dyDescent="0.25">
      <c r="A11" t="s">
        <v>47</v>
      </c>
      <c r="B11" s="18">
        <f>-B6*Assumptions!B10</f>
        <v>-1432683634.6628695</v>
      </c>
      <c r="C11" s="18">
        <f>-C6*Assumptions!B10</f>
        <v>-1479009036.7303445</v>
      </c>
      <c r="D11" s="18">
        <f>-D6*Assumptions!B10</f>
        <v>-1526832356.9877057</v>
      </c>
      <c r="E11" s="18">
        <f>-E6*Assumptions!B10</f>
        <v>-1576202030.177091</v>
      </c>
      <c r="F11" s="18">
        <f>-F6*Assumptions!B10</f>
        <v>-1627168057.1637163</v>
      </c>
    </row>
    <row r="12" spans="1:6" x14ac:dyDescent="0.25">
      <c r="A12" t="s">
        <v>48</v>
      </c>
      <c r="B12" s="18">
        <f>-(B6-Assumptions!B29)*Assumptions!B11</f>
        <v>917270899.2096367</v>
      </c>
      <c r="C12" s="18">
        <f>-(C6-B6)*Assumptions!B11</f>
        <v>946930582.7451973</v>
      </c>
      <c r="D12" s="18">
        <f>-(D6-C6)*Assumptions!B11</f>
        <v>977549303.3854904</v>
      </c>
      <c r="E12" s="18">
        <f>-(E6-D6)*Assumptions!B11</f>
        <v>1009158071.3119621</v>
      </c>
      <c r="F12" s="18">
        <f>-(F6-E6)*Assumptions!B11</f>
        <v>1041788899.4111214</v>
      </c>
    </row>
    <row r="13" spans="1:6" x14ac:dyDescent="0.25">
      <c r="A13" s="19" t="s">
        <v>49</v>
      </c>
      <c r="B13" s="20">
        <f>B9+B10+B11+B12</f>
        <v>7473729749.095854</v>
      </c>
      <c r="C13" s="20">
        <f>C9+C10+C11+C12</f>
        <v>7715390592.560422</v>
      </c>
      <c r="D13" s="20">
        <f>D9+D10+D11+D12</f>
        <v>7964865468.004286</v>
      </c>
      <c r="E13" s="20">
        <f>E9+E10+E11+E12</f>
        <v>8222407039.8429785</v>
      </c>
      <c r="F13" s="20">
        <f>F9+F10+F11+F12</f>
        <v>8488276142.321277</v>
      </c>
    </row>
    <row r="14" spans="1:6" x14ac:dyDescent="0.25">
      <c r="A14" t="s">
        <v>50</v>
      </c>
      <c r="B14" s="21">
        <f>1/(1+Assumptions!$B$26)^(1-0.5*Assumptions!$B$32)</f>
        <v>0.9426652618387641</v>
      </c>
      <c r="C14" s="21">
        <f>1/(1+Assumptions!$B$26)^(2-0.5*Assumptions!$B$32)</f>
        <v>0.8376691272254919</v>
      </c>
      <c r="D14" s="21">
        <f>1/(1+Assumptions!$B$26)^(3-0.5*Assumptions!$B$32)</f>
        <v>0.7443676935097839</v>
      </c>
      <c r="E14" s="21">
        <f>1/(1+Assumptions!$B$26)^(4-0.5*Assumptions!$B$32)</f>
        <v>0.6614583791291165</v>
      </c>
      <c r="F14" s="21">
        <f>1/(1+Assumptions!$B$26)^(5-0.5*Assumptions!$B$32)</f>
        <v>0.5877836869264494</v>
      </c>
    </row>
    <row r="15" spans="1:6" x14ac:dyDescent="0.25">
      <c r="A15" s="19" t="s">
        <v>51</v>
      </c>
      <c r="B15" s="20">
        <f>B13*B14</f>
        <v>7045225410.843604</v>
      </c>
      <c r="C15" s="20">
        <f>C13*C14</f>
        <v>6462944503.873859</v>
      </c>
      <c r="D15" s="20">
        <f>D13*D14</f>
        <v>5928788537.534076</v>
      </c>
      <c r="E15" s="20">
        <f>E13*E14</f>
        <v>5438780033.114373</v>
      </c>
      <c r="F15" s="20">
        <f>F13*F14</f>
        <v>4989270246.583419</v>
      </c>
    </row>
    <row r="17" spans="1:2" x14ac:dyDescent="0.25">
      <c r="A17" s="22" t="s">
        <v>52</v>
      </c>
      <c r="B17" s="23">
        <f>SUM(B15:F15)</f>
        <v>29865008731.949333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8488276142.321277</v>
      </c>
    </row>
    <row r="5" spans="1:2" x14ac:dyDescent="0.25">
      <c r="A5" t="s">
        <v>56</v>
      </c>
      <c r="B5" s="18">
        <f>IF(Assumptions!$B$33=0,B4,B4-Forecast!F11-Forecast!F10-Forecast!F12)</f>
        <v>8521531972.222524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0.08667925905423891</v>
      </c>
    </row>
    <row r="7" spans="1:2" x14ac:dyDescent="0.25">
      <c r="A7" t="s">
        <v>58</v>
      </c>
      <c r="B7" s="18">
        <f>-MAX(Forecast!F9,0)*B6</f>
        <v>-738640077.3592556</v>
      </c>
    </row>
    <row r="8" spans="1:2" x14ac:dyDescent="0.25">
      <c r="A8" t="s">
        <v>59</v>
      </c>
      <c r="B8" s="18">
        <f>IF(OR(Assumptions!$B$33=0,Assumptions!B12&lt;=0),B5,MAX(B5+B7,0))</f>
        <v>7782891894.863268</v>
      </c>
    </row>
    <row r="9" spans="1:2" x14ac:dyDescent="0.25">
      <c r="A9" t="s">
        <v>60</v>
      </c>
      <c r="B9" s="18">
        <f>B8*(1+Assumptions!B12)/(Assumptions!B26-Assumptions!B12)</f>
        <v>79501786414.2272</v>
      </c>
    </row>
    <row r="10" spans="1:2" x14ac:dyDescent="0.25">
      <c r="A10" t="s">
        <v>61</v>
      </c>
      <c r="B10" s="18">
        <f>B9/(1+Assumptions!B26)^(5-0.5*Assumptions!B32)</f>
        <v>46729853135.79357</v>
      </c>
    </row>
    <row r="11" spans="1:2" x14ac:dyDescent="0.25">
      <c r="A11" t="s">
        <v>62</v>
      </c>
      <c r="B11" s="18">
        <f>Forecast!B17+B10</f>
        <v>76594861867.7429</v>
      </c>
    </row>
    <row r="12" spans="1:2" x14ac:dyDescent="0.25">
      <c r="A12" t="s">
        <v>63</v>
      </c>
      <c r="B12" s="18">
        <f>-Assumptions!B30</f>
        <v>1523000000</v>
      </c>
    </row>
    <row r="13" spans="1:2" x14ac:dyDescent="0.25">
      <c r="A13" t="s">
        <v>64</v>
      </c>
      <c r="B13" s="18">
        <f>B11+B12</f>
        <v>78117861867.7429</v>
      </c>
    </row>
    <row r="14" spans="1:2" x14ac:dyDescent="0.25">
      <c r="A14" s="19" t="s">
        <v>65</v>
      </c>
      <c r="B14" s="24">
        <f>B13/Assumptions!B31</f>
        <v>96.6805221135432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10352264744.899872</v>
      </c>
    </row>
    <row r="18" spans="1:2" x14ac:dyDescent="0.25">
      <c r="A18" t="s">
        <v>60</v>
      </c>
      <c r="B18" s="18">
        <f>B17*Assumptions!B13</f>
        <v>207045294897.99744</v>
      </c>
    </row>
    <row r="19" spans="1:2" x14ac:dyDescent="0.25">
      <c r="A19" t="s">
        <v>61</v>
      </c>
      <c r="B19" s="18">
        <f>B18/(1+Assumptions!B26)^(5-0.5*Assumptions!B32)</f>
        <v>121697846795.91893</v>
      </c>
    </row>
    <row r="20" spans="1:2" x14ac:dyDescent="0.25">
      <c r="A20" t="s">
        <v>62</v>
      </c>
      <c r="B20" s="18">
        <f>Forecast!B17+B19</f>
        <v>151562855527.86826</v>
      </c>
    </row>
    <row r="21" spans="1:2" x14ac:dyDescent="0.25">
      <c r="A21" t="s">
        <v>63</v>
      </c>
      <c r="B21" s="18">
        <f>-Assumptions!B30</f>
        <v>1523000000</v>
      </c>
    </row>
    <row r="22" spans="1:2" x14ac:dyDescent="0.25">
      <c r="A22" t="s">
        <v>64</v>
      </c>
      <c r="B22" s="18">
        <f>B20+B21</f>
        <v>153085855527.86826</v>
      </c>
    </row>
    <row r="23" spans="1:2" x14ac:dyDescent="0.25">
      <c r="A23" s="19" t="s">
        <v>65</v>
      </c>
      <c r="B23" s="25">
        <f>B22/Assumptions!B31</f>
        <v>189.46269248498547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444.57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96.6805221135432</v>
      </c>
    </row>
    <row r="29" spans="1:2" x14ac:dyDescent="0.25">
      <c r="A29" s="19" t="s">
        <v>73</v>
      </c>
      <c r="B29" s="12">
        <f>B28/B26-1</f>
        <v>-0.7825302604459519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0.105343</v>
      </c>
      <c r="B5" s="31">
        <v>112.00699300517567</v>
      </c>
      <c r="C5" s="31">
        <v>115.18110130275056</v>
      </c>
      <c r="D5" s="31">
        <v>118.73577932093113</v>
      </c>
      <c r="E5" s="31">
        <v>122.74679449410526</v>
      </c>
      <c r="F5" s="31">
        <v>127.3114565378794</v>
      </c>
    </row>
    <row r="6" spans="1:6" x14ac:dyDescent="0.25">
      <c r="A6" s="30">
        <v>0.115343</v>
      </c>
      <c r="B6" s="31">
        <v>101.50589140924882</v>
      </c>
      <c r="C6" s="31">
        <v>103.87503643344348</v>
      </c>
      <c r="D6" s="31">
        <v>106.49403756832224</v>
      </c>
      <c r="E6" s="31">
        <v>109.4068098585901</v>
      </c>
      <c r="F6" s="31">
        <v>112.66820023964699</v>
      </c>
    </row>
    <row r="7" spans="1:6" x14ac:dyDescent="0.25">
      <c r="A7" s="30">
        <v>0.125343</v>
      </c>
      <c r="B7" s="31">
        <v>92.90336158491213</v>
      </c>
      <c r="C7" s="31">
        <v>94.70749008532881</v>
      </c>
      <c r="D7" s="32">
        <v>96.68070491159675</v>
      </c>
      <c r="E7" s="31">
        <v>98.84960785816095</v>
      </c>
      <c r="F7" s="31">
        <v>101.24668978545822</v>
      </c>
    </row>
    <row r="8" spans="1:6" x14ac:dyDescent="0.25">
      <c r="A8" s="30">
        <v>0.135343</v>
      </c>
      <c r="B8" s="31">
        <v>85.7263257145354</v>
      </c>
      <c r="C8" s="31">
        <v>87.12261188297303</v>
      </c>
      <c r="D8" s="31">
        <v>88.63607946534816</v>
      </c>
      <c r="E8" s="31">
        <v>90.28341415704693</v>
      </c>
      <c r="F8" s="31">
        <v>92.08462738527257</v>
      </c>
    </row>
    <row r="9" spans="1:6" x14ac:dyDescent="0.25">
      <c r="A9" s="30">
        <v>0.145343</v>
      </c>
      <c r="B9" s="31">
        <v>79.64687231020407</v>
      </c>
      <c r="C9" s="31">
        <v>80.74191513376807</v>
      </c>
      <c r="D9" s="31">
        <v>81.9197020693126</v>
      </c>
      <c r="E9" s="31">
        <v>83.1909937323905</v>
      </c>
      <c r="F9" s="31">
        <v>84.56850113242687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28368000000</v>
      </c>
      <c r="C5" s="18">
        <v>27176000000</v>
      </c>
      <c r="D5" s="18">
        <v>26517000000</v>
      </c>
      <c r="E5" s="18">
        <v>25785000000</v>
      </c>
      <c r="F5" s="8" t="s">
        <v>84</v>
      </c>
    </row>
    <row r="6" spans="1:6" x14ac:dyDescent="0.25">
      <c r="A6" t="s">
        <v>44</v>
      </c>
      <c r="B6" s="18">
        <v>8470000000</v>
      </c>
      <c r="C6" s="18">
        <v>7867000000</v>
      </c>
      <c r="D6" s="18">
        <v>7654000000</v>
      </c>
      <c r="E6" s="18">
        <v>7784000000</v>
      </c>
      <c r="F6" s="8" t="s">
        <v>85</v>
      </c>
    </row>
    <row r="7" spans="1:6" x14ac:dyDescent="0.25">
      <c r="A7" t="s">
        <v>86</v>
      </c>
      <c r="B7" s="18">
        <v>435000000</v>
      </c>
      <c r="C7" s="18">
        <v>392000000</v>
      </c>
      <c r="D7" s="18">
        <v>515000000</v>
      </c>
      <c r="E7" s="18">
        <v>444000000</v>
      </c>
      <c r="F7" s="8" t="s">
        <v>87</v>
      </c>
    </row>
    <row r="8" spans="1:6" x14ac:dyDescent="0.25">
      <c r="A8" t="s">
        <v>88</v>
      </c>
      <c r="B8" s="18">
        <v>2260000000</v>
      </c>
      <c r="C8" s="18">
        <v>1190000000</v>
      </c>
      <c r="D8" s="18">
        <v>1106000000</v>
      </c>
      <c r="E8" s="18">
        <v>787000000</v>
      </c>
      <c r="F8" s="8" t="s">
        <v>89</v>
      </c>
    </row>
    <row r="9" spans="1:6" x14ac:dyDescent="0.25">
      <c r="A9" t="s">
        <v>90</v>
      </c>
      <c r="B9" s="18">
        <v>200000000</v>
      </c>
      <c r="C9" s="18">
        <v>-1117000000</v>
      </c>
      <c r="D9" s="18">
        <v>-775000000</v>
      </c>
      <c r="E9" s="18">
        <v>1792000000</v>
      </c>
      <c r="F9" s="8" t="s">
        <v>91</v>
      </c>
    </row>
    <row r="10" spans="1:6" x14ac:dyDescent="0.25">
      <c r="A10" t="s">
        <v>92</v>
      </c>
      <c r="B10" s="18">
        <v>7050000000</v>
      </c>
      <c r="C10" s="18">
        <v>6606000000</v>
      </c>
      <c r="D10" s="18">
        <v>5999000000</v>
      </c>
      <c r="E10" s="18">
        <v>5829000000</v>
      </c>
      <c r="F10" s="8" t="s">
        <v>93</v>
      </c>
    </row>
    <row r="11" spans="1:6" x14ac:dyDescent="0.25">
      <c r="A11" t="s">
        <v>94</v>
      </c>
      <c r="B11" s="18">
        <v>8573000000</v>
      </c>
      <c r="C11" s="18">
        <v>9471000000</v>
      </c>
      <c r="D11" s="18">
        <v>6869000000</v>
      </c>
      <c r="E11" s="18">
        <v>2581000000</v>
      </c>
      <c r="F11" s="8" t="s">
        <v>95</v>
      </c>
    </row>
    <row r="12" spans="1:6" x14ac:dyDescent="0.25">
      <c r="A12" t="s">
        <v>32</v>
      </c>
      <c r="B12" s="34">
        <v>808000000</v>
      </c>
      <c r="C12" s="34">
        <v>834000000</v>
      </c>
      <c r="D12" s="34">
        <v>845000000</v>
      </c>
      <c r="E12" s="34">
        <v>877000000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