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<sst xmlns="http://schemas.openxmlformats.org/spreadsheetml/2006/main" count="119" uniqueCount="106">
  <si>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Amcor plc (AMCR)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</si>
  <si>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</si>
  <si>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</si>
  <si>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</si>
  <si>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</si>
  <si>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</si>
  <si>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</si>
  <si>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</si>
  <si>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</si>
  <si>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</si>
  <si>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</si>
  <si>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</si>
  <si>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</si>
  <si>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</si>
  <si>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</si>
  <si>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</si>
  <si>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</si>
  <si>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</si>
  <si>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</si>
  <si>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</si>
  <si>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</si>
  <si>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</si>
  <si>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</si>
  <si>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</si>
  <si>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3.3x interest cover. Book interest / average debt was lower, at 4.5%.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</si>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</sst>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0.017467656343061355</v>
      </c>
    </row>
    <row r="7" spans="1:2" x14ac:dyDescent="0.25">
      <c r="A7" t="s">
        <v>4</v>
      </c>
      <c r="B7" s="5">
        <v>0.09320244908179395</v>
      </c>
    </row>
    <row r="8" spans="1:2" x14ac:dyDescent="0.25">
      <c r="A8" t="s">
        <v>5</v>
      </c>
      <c r="B8" s="5">
        <v>0.16699495971029132</v>
      </c>
    </row>
    <row r="9" spans="1:2" x14ac:dyDescent="0.25">
      <c r="A9" t="s">
        <v>6</v>
      </c>
      <c r="B9" s="5">
        <v>0.04863162506401192</v>
      </c>
    </row>
    <row r="10" spans="1:3" x14ac:dyDescent="0.25">
      <c r="A10" t="s">
        <v>7</v>
      </c>
      <c r="B10" s="5">
        <v>0.037433703408070604</v>
      </c>
      <c r="C10" s="6" t="s">
        <v>8</v>
      </c>
    </row>
    <row r="11" spans="1:2" x14ac:dyDescent="0.25">
      <c r="A11" t="s">
        <v>9</v>
      </c>
      <c r="B11" s="5">
        <v>0.11755256913458617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9.900320539717084</v>
      </c>
    </row>
    <row r="14" spans="1:3" x14ac:dyDescent="0.25">
      <c r="A14" t="s">
        <v>12</v>
      </c>
      <c r="B14" s="5">
        <v>0.08707463394488395</v>
      </c>
      <c r="C14" s="6" t="s">
        <v>13</v>
      </c>
    </row>
    <row r="15" spans="1:3" x14ac:dyDescent="0.25">
      <c r="A15" t="s">
        <v>14</v>
      </c>
      <c r="B15" s="5">
        <v>0.04863162506401192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0.6904600000000001</v>
      </c>
      <c r="C19" s="6" t="s">
        <v>21</v>
      </c>
    </row>
    <row r="20" spans="1:2" x14ac:dyDescent="0.25">
      <c r="A20" t="s">
        <v>22</v>
      </c>
      <c r="B20" s="9">
        <f>B17+B19*B18</f>
        <v>0.078146458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22644578304</v>
      </c>
    </row>
    <row r="23" spans="1:2" x14ac:dyDescent="0.25">
      <c r="A23" t="s">
        <v>26</v>
      </c>
      <c r="B23" s="10">
        <v>14864000000</v>
      </c>
    </row>
    <row r="24" spans="1:2" x14ac:dyDescent="0.25">
      <c r="A24" t="s">
        <v>27</v>
      </c>
      <c r="B24" s="9">
        <f>B22/(B22+B23)</f>
        <v>0.6037173182217128</v>
      </c>
    </row>
    <row r="25" spans="1:2" x14ac:dyDescent="0.25">
      <c r="A25" t="s">
        <v>28</v>
      </c>
      <c r="B25" s="9">
        <f>1-B24</f>
        <v>0.3962826817782872</v>
      </c>
    </row>
    <row r="26" spans="1:2" x14ac:dyDescent="0.25">
      <c r="A26" t="s">
        <v>29</v>
      </c>
      <c r="B26" s="11">
        <f>B24*B20+B25*B21*(1-B8)</f>
        <v>0.06627167051232606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23506000000</v>
      </c>
      <c r="C29" s="6" t="s">
        <v>32</v>
      </c>
    </row>
    <row r="30" spans="1:2" x14ac:dyDescent="0.25">
      <c r="A30" t="s">
        <v>33</v>
      </c>
      <c r="B30" s="10">
        <v>13749000000</v>
      </c>
    </row>
    <row r="31" spans="1:2" x14ac:dyDescent="0.25">
      <c r="A31" t="s">
        <v>34</v>
      </c>
      <c r="B31" s="12">
        <v>463800000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0.017467656343061355</v>
      </c>
      <c r="C5" s="5">
        <v>-0.004609698046256994</v>
      </c>
      <c r="D5" s="5">
        <v>-0.0009084857904748693</v>
      </c>
      <c r="E5" s="5">
        <v>0.002792726465307255</v>
      </c>
      <c r="F5" s="5">
        <v>0.00649393872108938</v>
      </c>
      <c r="G5" s="5">
        <v>0.010195150976871504</v>
      </c>
      <c r="H5" s="5">
        <v>0.013896363232653627</v>
      </c>
      <c r="I5" s="5">
        <v>0.017597575488435754</v>
      </c>
      <c r="J5" s="5">
        <v>0.021298787744217878</v>
      </c>
      <c r="K5" s="5">
        <v>0.025</v>
      </c>
    </row>
    <row r="6" spans="1:11" x14ac:dyDescent="0.25">
      <c r="A6" t="s">
        <v>50</v>
      </c>
      <c r="B6" s="18">
        <f>Assumptions!B29*(1+B5)</f>
        <v>23916594730</v>
      </c>
      <c r="C6" s="18">
        <f>B6*(1+C5)</f>
        <v>23806346450</v>
      </c>
      <c r="D6" s="18">
        <f>C6*(1+D5)</f>
        <v>23784718722.527054</v>
      </c>
      <c r="E6" s="18">
        <f>D6*(1+E5)</f>
        <v>23851142935.973343</v>
      </c>
      <c r="F6" s="18">
        <f>E6*(1+F5)</f>
        <v>24006030796.6275</v>
      </c>
      <c r="G6" s="18">
        <f>F6*(1+G5)</f>
        <v>24250775904.95454</v>
      </c>
      <c r="H6" s="18">
        <f>G6*(1+H5)</f>
        <v>24587773495.603474</v>
      </c>
      <c r="I6" s="18">
        <f>H6*(1+I5)</f>
        <v>25020458695.784912</v>
      </c>
      <c r="J6" s="18">
        <f>I6*(1+J5)</f>
        <v>25553364134.809406</v>
      </c>
      <c r="K6" s="18">
        <f>J6*(1+K5)</f>
        <v>26192198238.179638</v>
      </c>
    </row>
    <row r="7" spans="1:11" x14ac:dyDescent="0.25">
      <c r="A7" t="s">
        <v>4</v>
      </c>
      <c r="B7" s="9">
        <f>Assumptions!B7</f>
        <v>0.09320244908179395</v>
      </c>
      <c r="C7" s="9">
        <f>Assumptions!B7</f>
        <v>0.09320244908179395</v>
      </c>
      <c r="D7" s="9">
        <f>Assumptions!B7</f>
        <v>0.09320244908179395</v>
      </c>
      <c r="E7" s="9">
        <f>Assumptions!B7</f>
        <v>0.09320244908179395</v>
      </c>
      <c r="F7" s="9">
        <f>Assumptions!B7</f>
        <v>0.09320244908179395</v>
      </c>
      <c r="G7" s="9">
        <f>Assumptions!B7</f>
        <v>0.09320244908179395</v>
      </c>
      <c r="H7" s="9">
        <f>Assumptions!B7</f>
        <v>0.09320244908179395</v>
      </c>
      <c r="I7" s="9">
        <f>Assumptions!B7</f>
        <v>0.09320244908179395</v>
      </c>
      <c r="J7" s="9">
        <f>Assumptions!B7</f>
        <v>0.09320244908179395</v>
      </c>
      <c r="K7" s="9">
        <f>Assumptions!B7</f>
        <v>0.09320244908179395</v>
      </c>
    </row>
    <row r="8" spans="1:11" x14ac:dyDescent="0.25">
      <c r="A8" t="s">
        <v>51</v>
      </c>
      <c r="B8" s="18">
        <f>B6*B7</f>
        <v>2229085202.532727</v>
      </c>
      <c r="C8" s="18">
        <f>C6*C7</f>
        <v>2218809792.8296714</v>
      </c>
      <c r="D8" s="18">
        <f>D6*D7</f>
        <v>2216794035.661119</v>
      </c>
      <c r="E8" s="18">
        <f>E6*E7</f>
        <v>2222984935.032645</v>
      </c>
      <c r="F8" s="18">
        <f>F6*F7</f>
        <v>2237420862.978652</v>
      </c>
      <c r="G8" s="18">
        <f>G6*G7</f>
        <v>2260231706.475521</v>
      </c>
      <c r="H8" s="18">
        <f>H6*H7</f>
        <v>2291640707.2586656</v>
      </c>
      <c r="I8" s="18">
        <f>I6*I7</f>
        <v>2331968027.597022</v>
      </c>
      <c r="J8" s="18">
        <f>J6*J7</f>
        <v>2381636119.6431136</v>
      </c>
      <c r="K8" s="18">
        <f>K6*K7</f>
        <v>2441177022.634191</v>
      </c>
    </row>
    <row r="9" spans="1:11" x14ac:dyDescent="0.25">
      <c r="A9" t="s">
        <v>52</v>
      </c>
      <c r="B9" s="18">
        <f>B8*(1-Assumptions!B8)</f>
        <v>1856839208.9449675</v>
      </c>
      <c r="C9" s="18">
        <f>C8*(1-Assumptions!B8)</f>
        <v>1848279740.8712807</v>
      </c>
      <c r="D9" s="18">
        <f>D8*(1-Assumptions!B8)</f>
        <v>1846600604.9898763</v>
      </c>
      <c r="E9" s="18">
        <f>E8*(1-Assumptions!B8)</f>
        <v>1851757655.370284</v>
      </c>
      <c r="F9" s="18">
        <f>F8*(1-Assumptions!B8)</f>
        <v>1863782856.1105669</v>
      </c>
      <c r="G9" s="18">
        <f>G8*(1-Assumptions!B8)</f>
        <v>1882784403.7167184</v>
      </c>
      <c r="H9" s="18">
        <f>H8*(1-Assumptions!B8)</f>
        <v>1908948259.679541</v>
      </c>
      <c r="I9" s="18">
        <f>I8*(1-Assumptions!B8)</f>
        <v>1942541120.78277</v>
      </c>
      <c r="J9" s="18">
        <f>J8*(1-Assumptions!B8)</f>
        <v>1983914891.7987373</v>
      </c>
      <c r="K9" s="18">
        <f>K8*(1-Assumptions!B8)</f>
        <v>2033512764.0937054</v>
      </c>
    </row>
    <row r="10" spans="1:11" x14ac:dyDescent="0.25">
      <c r="A10" t="s">
        <v>53</v>
      </c>
      <c r="B10" s="18">
        <f>B6*Assumptions!B9</f>
        <v>1163102867.7172832</v>
      </c>
      <c r="C10" s="18">
        <f>C6*Assumptions!B9</f>
        <v>1157741314.7003713</v>
      </c>
      <c r="D10" s="18">
        <f>D6*Assumptions!B9</f>
        <v>1156689523.1669202</v>
      </c>
      <c r="E10" s="18">
        <f>E6*Assumptions!B9</f>
        <v>1159919840.6104121</v>
      </c>
      <c r="F10" s="18">
        <f>F6*Assumptions!B9</f>
        <v>1167452288.9767118</v>
      </c>
      <c r="G10" s="18">
        <f>G6*Assumptions!B9</f>
        <v>1179354641.3211236</v>
      </c>
      <c r="H10" s="18">
        <f>H6*Assumptions!B9</f>
        <v>1195743381.7970378</v>
      </c>
      <c r="I10" s="18">
        <f>I6*Assumptions!B9</f>
        <v>1216785566.2230084</v>
      </c>
      <c r="J10" s="18">
        <f>J6*Assumptions!B9</f>
        <v>1242701623.7282205</v>
      </c>
      <c r="K10" s="18">
        <f>K6*Assumptions!B9</f>
        <v>1273769164.3214257</v>
      </c>
    </row>
    <row r="11" spans="1:11" x14ac:dyDescent="0.25">
      <c r="A11" t="s">
        <v>54</v>
      </c>
      <c r="B11" s="18">
        <f>-B6*B19</f>
        <v>-895286713.6538445</v>
      </c>
      <c r="C11" s="18">
        <f>-C6*C19</f>
        <v>-979742072.0269635</v>
      </c>
      <c r="D11" s="18">
        <f>-D6*D19</f>
        <v>-1067353874.2489315</v>
      </c>
      <c r="E11" s="18">
        <f>-E6*E19</f>
        <v>-1159083747.1877298</v>
      </c>
      <c r="F11" s="18">
        <f>-F6*F19</f>
        <v>-1255936142.4041162</v>
      </c>
      <c r="G11" s="18">
        <f>-G6*G19</f>
        <v>-1358976663.0811312</v>
      </c>
      <c r="H11" s="18">
        <f>-H6*H19</f>
        <v>-1469351511.5993593</v>
      </c>
      <c r="I11" s="18">
        <f>-I6*I19</f>
        <v>-1588308553.3757565</v>
      </c>
      <c r="J11" s="18">
        <f>-J6*J19</f>
        <v>-1717220535.2729394</v>
      </c>
      <c r="K11" s="18">
        <f>-K6*K19</f>
        <v>-1857611057.1799324</v>
      </c>
    </row>
    <row r="12" spans="1:11" x14ac:dyDescent="0.25">
      <c r="A12" t="s">
        <v>55</v>
      </c>
      <c r="B12" s="18">
        <f>-(B6-Assumptions!B29)*Assumptions!B11</f>
        <v>-48266465.38462174</v>
      </c>
      <c r="C12" s="18">
        <f>-(C6-B6)*Assumptions!B11</f>
        <v>12959968.556669215</v>
      </c>
      <c r="D12" s="18">
        <f>-(D6-C6)*Assumptions!B11</f>
        <v>2542394.928987493</v>
      </c>
      <c r="E12" s="18">
        <f>-(E6-D6)*Assumptions!B11</f>
        <v>-7808336.943355404</v>
      </c>
      <c r="F12" s="18">
        <f>-(F6-E6)*Assumptions!B11</f>
        <v>-18207465.94765579</v>
      </c>
      <c r="G12" s="18">
        <f>-(G6-F6)*Assumptions!B11</f>
        <v>-28770416.266966343</v>
      </c>
      <c r="H12" s="18">
        <f>-(H6-G6)*Assumptions!B11</f>
        <v>-39614932.57294772</v>
      </c>
      <c r="I12" s="18">
        <f>-(I6-H6)*Assumptions!B11</f>
        <v>-50863256.9078408</v>
      </c>
      <c r="J12" s="18">
        <f>-(J6-I6)*Assumptions!B11</f>
        <v>-62644403.46312384</v>
      </c>
      <c r="K12" s="18">
        <f>-(K6-J6)*Assumptions!B11</f>
        <v>-75096590.10196052</v>
      </c>
    </row>
    <row r="13" spans="1:11" x14ac:dyDescent="0.25">
      <c r="A13" s="19" t="s">
        <v>56</v>
      </c>
      <c r="B13" s="20">
        <f>B9+B10+B11+B12</f>
        <v>2076388897.6237845</v>
      </c>
      <c r="C13" s="20">
        <f>C9+C10+C11+C12</f>
        <v>2039238952.1013577</v>
      </c>
      <c r="D13" s="20">
        <f>D9+D10+D11+D12</f>
        <v>1938478648.8368526</v>
      </c>
      <c r="E13" s="20">
        <f>E9+E10+E11+E12</f>
        <v>1844785411.849611</v>
      </c>
      <c r="F13" s="20">
        <f>F9+F10+F11+F12</f>
        <v>1757091536.7355065</v>
      </c>
      <c r="G13" s="20">
        <f>G9+G10+G11+G12</f>
        <v>1674391965.6897442</v>
      </c>
      <c r="H13" s="20">
        <f>H9+H10+H11+H12</f>
        <v>1595725197.3042717</v>
      </c>
      <c r="I13" s="20">
        <f>I9+I10+I11+I12</f>
        <v>1520154876.722181</v>
      </c>
      <c r="J13" s="20">
        <f>J9+J10+J11+J12</f>
        <v>1446751576.7908943</v>
      </c>
      <c r="K13" s="20">
        <f>K9+K10+K11+K12</f>
        <v>1374574281.1332383</v>
      </c>
    </row>
    <row r="14" spans="1:11" x14ac:dyDescent="0.25">
      <c r="A14" t="s">
        <v>57</v>
      </c>
      <c r="B14" s="21">
        <f>1/(1+Assumptions!$B$26)^(1-0.5*Assumptions!$B$32)</f>
        <v>0.9684251613803385</v>
      </c>
      <c r="C14" s="21">
        <f>1/(1+Assumptions!$B$26)^(2-0.5*Assumptions!$B$32)</f>
        <v>0.9082349162620312</v>
      </c>
      <c r="D14" s="21">
        <f>1/(1+Assumptions!$B$26)^(3-0.5*Assumptions!$B$32)</f>
        <v>0.851785657801111</v>
      </c>
      <c r="E14" s="21">
        <f>1/(1+Assumptions!$B$26)^(4-0.5*Assumptions!$B$32)</f>
        <v>0.7988448735506984</v>
      </c>
      <c r="F14" s="21">
        <f>1/(1+Assumptions!$B$26)^(5-0.5*Assumptions!$B$32)</f>
        <v>0.749194502341853</v>
      </c>
      <c r="G14" s="21">
        <f>1/(1+Assumptions!$B$26)^(6-0.5*Assumptions!$B$32)</f>
        <v>0.7026300360975335</v>
      </c>
      <c r="H14" s="21">
        <f>1/(1+Assumptions!$B$26)^(7-0.5*Assumptions!$B$32)</f>
        <v>0.6589596774712501</v>
      </c>
      <c r="I14" s="21">
        <f>1/(1+Assumptions!$B$26)^(8-0.5*Assumptions!$B$32)</f>
        <v>0.6180035498407557</v>
      </c>
      <c r="J14" s="21">
        <f>1/(1+Assumptions!$B$26)^(9-0.5*Assumptions!$B$32)</f>
        <v>0.5795929564027665</v>
      </c>
      <c r="K14" s="21">
        <f>1/(1+Assumptions!$B$26)^(10-0.5*Assumptions!$B$32)</f>
        <v>0.5435696853169527</v>
      </c>
    </row>
    <row r="15" spans="1:11" x14ac:dyDescent="0.25">
      <c r="A15" s="19" t="s">
        <v>58</v>
      </c>
      <c r="B15" s="20">
        <f>B13*B14</f>
        <v>2010827253.2696567</v>
      </c>
      <c r="C15" s="20">
        <f>C13*C14</f>
        <v>1852108018.900049</v>
      </c>
      <c r="D15" s="20">
        <f>D13*D14</f>
        <v>1651168311.0329075</v>
      </c>
      <c r="E15" s="20">
        <f>E13*E14</f>
        <v>1473697369.0571756</v>
      </c>
      <c r="F15" s="20">
        <f>F13*F14</f>
        <v>1316403319.4336395</v>
      </c>
      <c r="G15" s="20">
        <f>G13*G14</f>
        <v>1176478087.2940052</v>
      </c>
      <c r="H15" s="20">
        <f>H13*H14</f>
        <v>1051518561.3483697</v>
      </c>
      <c r="I15" s="20">
        <f>I13*I14</f>
        <v>939461110.1220442</v>
      </c>
      <c r="J15" s="20">
        <f>J13*J14</f>
        <v>838527023.5725986</v>
      </c>
      <c r="K15" s="20">
        <f>K13*K14</f>
        <v>747176909.4403708</v>
      </c>
    </row>
    <row r="17" spans="1:2" x14ac:dyDescent="0.25">
      <c r="A17" s="22" t="s">
        <v>59</v>
      </c>
      <c r="B17" s="23">
        <f>SUM(B15:K15)</f>
        <v>13057365963.470816</v>
      </c>
    </row>
    <row r="19" spans="1:11" x14ac:dyDescent="0.25">
      <c r="A19" t="s">
        <v>7</v>
      </c>
      <c r="B19" s="9">
        <f>Assumptions!$B$10+($B$20-Assumptions!$B$10)*0/9</f>
        <v>0.037433703408070604</v>
      </c>
      <c r="C19" s="9">
        <f>Assumptions!$B$10+($B$20-Assumptions!$B$10)*1/9</f>
        <v>0.041154659077347146</v>
      </c>
      <c r="D19" s="9">
        <f>Assumptions!$B$10+($B$20-Assumptions!$B$10)*2/9</f>
        <v>0.04487561474662369</v>
      </c>
      <c r="E19" s="9">
        <f>Assumptions!$B$10+($B$20-Assumptions!$B$10)*3/9</f>
        <v>0.04859657041590023</v>
      </c>
      <c r="F19" s="9">
        <f>Assumptions!$B$10+($B$20-Assumptions!$B$10)*4/9</f>
        <v>0.05231752608517677</v>
      </c>
      <c r="G19" s="9">
        <f>Assumptions!$B$10+($B$20-Assumptions!$B$10)*5/9</f>
        <v>0.05603848175445332</v>
      </c>
      <c r="H19" s="9">
        <f>Assumptions!$B$10+($B$20-Assumptions!$B$10)*6/9</f>
        <v>0.059759437423729855</v>
      </c>
      <c r="I19" s="9">
        <f>Assumptions!$B$10+($B$20-Assumptions!$B$10)*7/9</f>
        <v>0.0634803930930064</v>
      </c>
      <c r="J19" s="9">
        <f>Assumptions!$B$10+($B$20-Assumptions!$B$10)*8/9</f>
        <v>0.06720134876228294</v>
      </c>
      <c r="K19" s="9">
        <f>Assumptions!$B$10+($B$20-Assumptions!$B$10)*9/9</f>
        <v>0.07092230443155949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0.07092230443155949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1374574281.1332383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2033512764.0937054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0.2871100212241417</v>
      </c>
    </row>
    <row r="7" spans="1:2" x14ac:dyDescent="0.25">
      <c r="A7" t="s">
        <v>66</v>
      </c>
      <c r="B7" s="18">
        <f>-MAX(B5,0)*B6</f>
        <v>-583841892.8585068</v>
      </c>
    </row>
    <row r="8" spans="1:2" x14ac:dyDescent="0.25">
      <c r="A8" t="s">
        <v>67</v>
      </c>
      <c r="B8" s="18">
        <f>IF(OR(Assumptions!$B$33=0,Assumptions!B12&lt;=0),B5,MAX(B5+B7,0))</f>
        <v>1449670871.2351985</v>
      </c>
    </row>
    <row r="9" spans="1:2" x14ac:dyDescent="0.25">
      <c r="A9" t="s">
        <v>68</v>
      </c>
      <c r="B9" s="18">
        <f>B8*(1+Assumptions!B12)/(Assumptions!B26-Assumptions!B12)</f>
        <v>36003210545.41033</v>
      </c>
    </row>
    <row r="10" spans="1:2" x14ac:dyDescent="0.25">
      <c r="A10" t="s">
        <v>69</v>
      </c>
      <c r="B10" s="18">
        <f>B9/(1+Assumptions!B26)^(10-0.5*Assumptions!B32)</f>
        <v>19570253826.568687</v>
      </c>
    </row>
    <row r="11" spans="1:2" x14ac:dyDescent="0.25">
      <c r="A11" t="s">
        <v>70</v>
      </c>
      <c r="B11" s="18">
        <f>Forecast!B17+B10</f>
        <v>32627619790.039505</v>
      </c>
    </row>
    <row r="12" spans="1:2" x14ac:dyDescent="0.25">
      <c r="A12" t="s">
        <v>71</v>
      </c>
      <c r="B12" s="18">
        <f>-Assumptions!B30</f>
        <v>-13749000000</v>
      </c>
    </row>
    <row r="13" spans="1:2" x14ac:dyDescent="0.25">
      <c r="A13" t="s">
        <v>72</v>
      </c>
      <c r="B13" s="18">
        <f>B11+B12</f>
        <v>18878619790.039505</v>
      </c>
    </row>
    <row r="14" spans="1:2" x14ac:dyDescent="0.25">
      <c r="A14" s="19" t="s">
        <v>73</v>
      </c>
      <c r="B14" s="24">
        <f>B13/Assumptions!B31</f>
        <v>40.70422550676909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3714946186.955617</v>
      </c>
    </row>
    <row r="18" spans="1:2" x14ac:dyDescent="0.25">
      <c r="A18" t="s">
        <v>68</v>
      </c>
      <c r="B18" s="18">
        <f>B17*Assumptions!B13</f>
        <v>36779158038.660355</v>
      </c>
    </row>
    <row r="19" spans="1:2" x14ac:dyDescent="0.25">
      <c r="A19" t="s">
        <v>69</v>
      </c>
      <c r="B19" s="18">
        <f>B18/(1+Assumptions!B26)^(10-0.5*Assumptions!B32)</f>
        <v>19992035361.29708</v>
      </c>
    </row>
    <row r="20" spans="1:2" x14ac:dyDescent="0.25">
      <c r="A20" t="s">
        <v>70</v>
      </c>
      <c r="B20" s="18">
        <f>Forecast!B17+B19</f>
        <v>33049401324.7679</v>
      </c>
    </row>
    <row r="21" spans="1:2" x14ac:dyDescent="0.25">
      <c r="A21" t="s">
        <v>71</v>
      </c>
      <c r="B21" s="18">
        <f>-Assumptions!B30</f>
        <v>-13749000000</v>
      </c>
    </row>
    <row r="22" spans="1:2" x14ac:dyDescent="0.25">
      <c r="A22" t="s">
        <v>72</v>
      </c>
      <c r="B22" s="18">
        <f>B20+B21</f>
        <v>19300401324.7679</v>
      </c>
    </row>
    <row r="23" spans="1:2" x14ac:dyDescent="0.25">
      <c r="A23" s="19" t="s">
        <v>73</v>
      </c>
      <c r="B23" s="25">
        <f>B22/Assumptions!B31</f>
        <v>41.61362941950819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49.02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40.70422550676909</v>
      </c>
    </row>
    <row r="29" spans="1:2" x14ac:dyDescent="0.25">
      <c r="A29" s="19" t="s">
        <v>81</v>
      </c>
      <c r="B29" s="11">
        <f>B28/B26-1</f>
        <v>-0.1696404425383703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0.046272</v>
      </c>
      <c r="B5" s="31">
        <v>79.23639691190326</v>
      </c>
      <c r="C5" s="31">
        <v>87.03053501272132</v>
      </c>
      <c r="D5" s="31">
        <v>98.82639093745576</v>
      </c>
      <c r="E5" s="31">
        <v>118.31286386007088</v>
      </c>
      <c r="F5" s="31">
        <v>155.7240963433958</v>
      </c>
    </row>
    <row r="6" spans="1:6" x14ac:dyDescent="0.25">
      <c r="A6" s="30">
        <v>0.056272</v>
      </c>
      <c r="B6" s="31">
        <v>54.34212783392809</v>
      </c>
      <c r="C6" s="31">
        <v>56.916593858230215</v>
      </c>
      <c r="D6" s="31">
        <v>60.53123308525753</v>
      </c>
      <c r="E6" s="31">
        <v>65.77993246845404</v>
      </c>
      <c r="F6" s="31">
        <v>73.81495330635943</v>
      </c>
    </row>
    <row r="7" spans="1:6" x14ac:dyDescent="0.25">
      <c r="A7" s="30">
        <v>0.066272</v>
      </c>
      <c r="B7" s="31">
        <v>39.11716555717604</v>
      </c>
      <c r="C7" s="31">
        <v>39.75544052274945</v>
      </c>
      <c r="D7" s="32">
        <v>40.70372908809335</v>
      </c>
      <c r="E7" s="31">
        <v>42.0902349363947</v>
      </c>
      <c r="F7" s="31">
        <v>44.125154385265475</v>
      </c>
    </row>
    <row r="8" spans="1:6" x14ac:dyDescent="0.25">
      <c r="A8" s="30">
        <v>0.076272</v>
      </c>
      <c r="B8" s="31">
        <v>28.829284291505726</v>
      </c>
      <c r="C8" s="31">
        <v>28.64495980780407</v>
      </c>
      <c r="D8" s="31">
        <v>28.54300211445501</v>
      </c>
      <c r="E8" s="31">
        <v>28.550112064140297</v>
      </c>
      <c r="F8" s="31">
        <v>28.705929476726066</v>
      </c>
    </row>
    <row r="9" spans="1:6" x14ac:dyDescent="0.25">
      <c r="A9" s="30">
        <v>0.086272</v>
      </c>
      <c r="B9" s="31">
        <v>21.40200498703697</v>
      </c>
      <c r="C9" s="31">
        <v>20.848755614551152</v>
      </c>
      <c r="D9" s="31">
        <v>20.298961838159112</v>
      </c>
      <c r="E9" s="31">
        <v>19.75354478988759</v>
      </c>
      <c r="F9" s="31">
        <v>19.213784913678847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23506000000</v>
      </c>
      <c r="C5" s="18">
        <v>15009000000</v>
      </c>
      <c r="D5" s="18">
        <v>13640000000</v>
      </c>
      <c r="E5" s="18">
        <v>14694000000</v>
      </c>
      <c r="F5" s="6" t="s">
        <v>91</v>
      </c>
    </row>
    <row r="6" spans="1:6" x14ac:dyDescent="0.25">
      <c r="A6" t="s">
        <v>51</v>
      </c>
      <c r="B6" s="18">
        <v>2197000000</v>
      </c>
      <c r="C6" s="18">
        <v>1316000000</v>
      </c>
      <c r="D6" s="18">
        <v>1311000000</v>
      </c>
      <c r="E6" s="18">
        <v>1404000000</v>
      </c>
      <c r="F6" s="6" t="s">
        <v>92</v>
      </c>
    </row>
    <row r="7" spans="1:6" x14ac:dyDescent="0.25">
      <c r="A7" t="s">
        <v>93</v>
      </c>
      <c r="B7" s="18">
        <v>1479000000</v>
      </c>
      <c r="C7" s="18">
        <v>722000000</v>
      </c>
      <c r="D7" s="18">
        <v>595000000</v>
      </c>
      <c r="E7" s="18">
        <v>586000000</v>
      </c>
      <c r="F7" s="6" t="s">
        <v>94</v>
      </c>
    </row>
    <row r="8" spans="1:6" x14ac:dyDescent="0.25">
      <c r="A8" t="s">
        <v>95</v>
      </c>
      <c r="B8" s="18">
        <v>922000000</v>
      </c>
      <c r="C8" s="18">
        <v>580000000</v>
      </c>
      <c r="D8" s="18">
        <v>492000000</v>
      </c>
      <c r="E8" s="18">
        <v>526000000</v>
      </c>
      <c r="F8" s="6" t="s">
        <v>96</v>
      </c>
    </row>
    <row r="9" spans="1:6" x14ac:dyDescent="0.25">
      <c r="A9" t="s">
        <v>97</v>
      </c>
      <c r="B9" s="18">
        <v>273000000</v>
      </c>
      <c r="C9" s="18">
        <v>78000000</v>
      </c>
      <c r="D9" s="18">
        <v>120000000</v>
      </c>
      <c r="E9" s="18">
        <v>265000000</v>
      </c>
      <c r="F9" s="6" t="s">
        <v>98</v>
      </c>
    </row>
    <row r="10" spans="1:6" x14ac:dyDescent="0.25">
      <c r="A10" t="s">
        <v>99</v>
      </c>
      <c r="B10" s="18">
        <v>14864000000</v>
      </c>
      <c r="C10" s="18">
        <v>15008000000</v>
      </c>
      <c r="D10" s="18">
        <v>7187000000</v>
      </c>
      <c r="E10" s="18">
        <v>7209000000</v>
      </c>
      <c r="F10" s="6" t="s">
        <v>100</v>
      </c>
    </row>
    <row r="11" spans="1:6" x14ac:dyDescent="0.25">
      <c r="A11" t="s">
        <v>101</v>
      </c>
      <c r="B11" s="18">
        <v>1115000000</v>
      </c>
      <c r="C11" s="18">
        <v>827000000</v>
      </c>
      <c r="D11" s="18">
        <v>588000000</v>
      </c>
      <c r="E11" s="18">
        <v>689000000</v>
      </c>
      <c r="F11" s="6" t="s">
        <v>102</v>
      </c>
    </row>
    <row r="12" spans="1:6" x14ac:dyDescent="0.25">
      <c r="A12" t="s">
        <v>34</v>
      </c>
      <c r="B12" s="34">
        <v>463800000</v>
      </c>
      <c r="C12" s="34">
        <v>318600000</v>
      </c>
      <c r="D12" s="34">
        <v>288200000</v>
      </c>
      <c r="E12" s="34">
        <v>295200000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