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<sst xmlns="http://schemas.openxmlformats.org/spreadsheetml/2006/main" count="120" uniqueCount="107">
  <si>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Advanced Micro Devices, Inc. (AMD)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</si>
  <si>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</si>
  <si>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</si>
  <si>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</si>
  <si>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</si>
  <si>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</si>
  <si>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</si>
  <si>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</si>
  <si>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</si>
  <si>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</si>
  <si>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</si>
  <si>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</si>
  <si>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</si>
  <si>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</si>
  <si>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</si>
  <si>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</si>
  <si>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</si>
  <si>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</si>
  <si>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</si>
  <si>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</si>
  <si>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</si>
  <si>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</si>
  <si>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</si>
  <si>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</si>
  <si>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28.2x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</si>
  <si>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</si>
  <si>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</si>
  <si>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</si>
  <si>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</si>
  <si>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</si>
  <si>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</si>
  <si>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</si>
  <si>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</si>
  <si>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</si>
  <si>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</si>
  <si>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</si>
  <si>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</si>
  <si>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</si>
  <si>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</si>
  <si>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</si>
  <si>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</si>
  <si>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</si>
  <si>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</si>
  <si>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</si>
  <si>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</si>
  <si>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</si>
  <si>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</si>
  <si>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</si>
  <si>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</si>
  <si>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</si>
  <si>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</si>
  <si>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</si>
  <si>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</si>
  <si>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</si>
  <si>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</si>
  <si>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</si>
  <si>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</si>
  <si>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</si>
  <si>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</si>
  <si>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</si>
  <si>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</si>
  <si>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</si>
  <si>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</si>
  <si>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</si>
  <si>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</si>
  <si>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</si>
  <si>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</si>
  <si>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</si>
  <si>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</si>
  <si>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</si>
  <si>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</si>
  <si>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</si>
  <si>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</si>
  <si>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</si>
  <si>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</si>
  <si>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</si>
  <si>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</si>
  <si>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</si>
  <si>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</si>
  <si>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</si>
  <si>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</si>
  <si>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</si>
  <si>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</si>
  <si>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</si>
  <si>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</si>
  <si>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</si>
  <si>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</si>
  <si>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</si>
  <si>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</si>
  <si>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</si>
  <si>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</si>
  <si>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</si>
  <si>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</si>
  <si>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</si>
  <si>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</si>
  <si>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</si>
  <si>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</si>
  <si>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</si>
  <si>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</si>
  <si>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</si>
  <si>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</si>
  <si>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</si>
  <si>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</si>
  <si>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</si>
  <si>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</si>
  <si>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122.0x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</si>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</sst>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0.47199981754669595</v>
      </c>
    </row>
    <row r="7" spans="1:2" x14ac:dyDescent="0.25">
      <c r="A7" t="s">
        <v>4</v>
      </c>
      <c r="B7" s="5">
        <v>0.06469509451584474</v>
      </c>
    </row>
    <row r="8" spans="1:2" x14ac:dyDescent="0.25">
      <c r="A8" t="s">
        <v>5</v>
      </c>
      <c r="B8" s="5">
        <v>0.19155354449472098</v>
      </c>
    </row>
    <row r="9" spans="1:2" x14ac:dyDescent="0.25">
      <c r="A9" t="s">
        <v>6</v>
      </c>
      <c r="B9" s="5">
        <v>0.1345965199755475</v>
      </c>
    </row>
    <row r="10" spans="1:3" x14ac:dyDescent="0.25">
      <c r="A10" t="s">
        <v>7</v>
      </c>
      <c r="B10" s="5">
        <v>0.023981290152045056</v>
      </c>
      <c r="C10" s="6" t="s">
        <v>8</v>
      </c>
    </row>
    <row r="11" spans="1:2" x14ac:dyDescent="0.25">
      <c r="A11" t="s">
        <v>9</v>
      </c>
      <c r="B11" s="5">
        <v>0.3091190686472257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0.13203125415343162</v>
      </c>
      <c r="C14" s="6" t="s">
        <v>13</v>
      </c>
    </row>
    <row r="15" spans="1:3" x14ac:dyDescent="0.25">
      <c r="A15" t="s">
        <v>14</v>
      </c>
      <c r="B15" s="5">
        <v>0.026558652618238456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1.97418</v>
      </c>
      <c r="C19" s="6" t="s">
        <v>21</v>
      </c>
    </row>
    <row r="20" spans="1:2" x14ac:dyDescent="0.25">
      <c r="A20" t="s">
        <v>22</v>
      </c>
      <c r="B20" s="9">
        <f>B17+B19*B18</f>
        <v>0.132447814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824073388032</v>
      </c>
    </row>
    <row r="23" spans="1:2" x14ac:dyDescent="0.25">
      <c r="A23" t="s">
        <v>26</v>
      </c>
      <c r="B23" s="10">
        <v>3847000000</v>
      </c>
    </row>
    <row r="24" spans="1:2" x14ac:dyDescent="0.25">
      <c r="A24" t="s">
        <v>27</v>
      </c>
      <c r="B24" s="9">
        <f>B22/(B22+B23)</f>
        <v>0.9953534179667389</v>
      </c>
    </row>
    <row r="25" spans="1:2" x14ac:dyDescent="0.25">
      <c r="A25" t="s">
        <v>28</v>
      </c>
      <c r="B25" s="9">
        <f>1-B24</f>
        <v>0.004646582033261071</v>
      </c>
    </row>
    <row r="26" spans="1:2" x14ac:dyDescent="0.25">
      <c r="A26" t="s">
        <v>29</v>
      </c>
      <c r="B26" s="11">
        <f>B24*B20+B25*B21*(1-B8)</f>
        <v>0.13203125415343162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34639000000</v>
      </c>
      <c r="C29" s="6" t="s">
        <v>32</v>
      </c>
    </row>
    <row r="30" spans="1:2" x14ac:dyDescent="0.25">
      <c r="A30" t="s">
        <v>33</v>
      </c>
      <c r="B30" s="10">
        <v>-6705000000</v>
      </c>
    </row>
    <row r="31" spans="1:2" x14ac:dyDescent="0.25">
      <c r="A31" t="s">
        <v>34</v>
      </c>
      <c r="B31" s="12">
        <v>1636000000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0.47199981754669595</v>
      </c>
      <c r="C5" s="5"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50988601680</v>
      </c>
      <c r="C6" s="18">
        <f>B6*(1+C5)</f>
        <v>76482902520</v>
      </c>
      <c r="D6" s="18">
        <f>C6*(1+D5)</f>
        <v>110183181442.875</v>
      </c>
      <c r="E6" s="18">
        <f>D6*(1+E5)</f>
        <v>152190519367.9711</v>
      </c>
      <c r="F6" s="18">
        <f>E6*(1+F5)</f>
        <v>201176842789.53677</v>
      </c>
      <c r="G6" s="18">
        <f>F6*(1+G5)</f>
        <v>253985764021.79016</v>
      </c>
      <c r="H6" s="18">
        <f>G6*(1+H5)</f>
        <v>305576622338.7163</v>
      </c>
      <c r="I6" s="18">
        <f>H6*(1+I5)</f>
        <v>349503261799.9068</v>
      </c>
      <c r="J6" s="18">
        <f>I6*(1+J5)</f>
        <v>378992599514.274</v>
      </c>
      <c r="K6" s="18">
        <f>J6*(1+K5)</f>
        <v>388467414502.1308</v>
      </c>
    </row>
    <row r="7" spans="1:11" x14ac:dyDescent="0.25">
      <c r="A7" t="s">
        <v>4</v>
      </c>
      <c r="B7" s="9">
        <f>Assumptions!B7</f>
        <v>0.06469509451584474</v>
      </c>
      <c r="C7" s="9">
        <f>Assumptions!B7</f>
        <v>0.06469509451584474</v>
      </c>
      <c r="D7" s="9">
        <f>Assumptions!B7</f>
        <v>0.06469509451584474</v>
      </c>
      <c r="E7" s="9">
        <f>Assumptions!B7</f>
        <v>0.06469509451584474</v>
      </c>
      <c r="F7" s="9">
        <f>Assumptions!B7</f>
        <v>0.06469509451584474</v>
      </c>
      <c r="G7" s="9">
        <f>Assumptions!B7</f>
        <v>0.06469509451584474</v>
      </c>
      <c r="H7" s="9">
        <f>Assumptions!B7</f>
        <v>0.06469509451584474</v>
      </c>
      <c r="I7" s="9">
        <f>Assumptions!B7</f>
        <v>0.06469509451584474</v>
      </c>
      <c r="J7" s="9">
        <f>Assumptions!B7</f>
        <v>0.06469509451584474</v>
      </c>
      <c r="K7" s="9">
        <f>Assumptions!B7</f>
        <v>0.06469509451584474</v>
      </c>
    </row>
    <row r="8" spans="1:11" x14ac:dyDescent="0.25">
      <c r="A8" t="s">
        <v>51</v>
      </c>
      <c r="B8" s="18">
        <f>B6*B7</f>
        <v>3298712404.9183598</v>
      </c>
      <c r="C8" s="18">
        <f>C6*C7</f>
        <v>4948068607.37754</v>
      </c>
      <c r="D8" s="18">
        <f>D6*D7</f>
        <v>7128311337.503268</v>
      </c>
      <c r="E8" s="18">
        <f>E6*E7</f>
        <v>9845980034.92639</v>
      </c>
      <c r="F8" s="18">
        <f>F6*F7</f>
        <v>13015154858.66832</v>
      </c>
      <c r="G8" s="18">
        <f>G6*G7</f>
        <v>16431633009.068752</v>
      </c>
      <c r="H8" s="18">
        <f>H6*H7</f>
        <v>19769308464.035843</v>
      </c>
      <c r="I8" s="18">
        <f>I6*I7</f>
        <v>22611146555.740997</v>
      </c>
      <c r="J8" s="18">
        <f>J6*J7</f>
        <v>24518962046.38165</v>
      </c>
      <c r="K8" s="18">
        <f>K6*K7</f>
        <v>25131936097.541187</v>
      </c>
    </row>
    <row r="9" spans="1:11" x14ac:dyDescent="0.25">
      <c r="A9" t="s">
        <v>52</v>
      </c>
      <c r="B9" s="18">
        <f>B8*(1-Assumptions!B8)</f>
        <v>2666832351.4875426</v>
      </c>
      <c r="C9" s="18">
        <f>C8*(1-Assumptions!B8)</f>
        <v>4000248527.231314</v>
      </c>
      <c r="D9" s="18">
        <f>D8*(1-Assumptions!B8)</f>
        <v>5762858034.542612</v>
      </c>
      <c r="E9" s="18">
        <f>E8*(1-Assumptions!B8)</f>
        <v>7959947660.211984</v>
      </c>
      <c r="F9" s="18">
        <f>F8*(1-Assumptions!B8)</f>
        <v>10522055813.342714</v>
      </c>
      <c r="G9" s="18">
        <f>G8*(1-Assumptions!B8)</f>
        <v>13284095464.345175</v>
      </c>
      <c r="H9" s="18">
        <f>H8*(1-Assumptions!B8)</f>
        <v>15982427355.540289</v>
      </c>
      <c r="I9" s="18">
        <f>I8*(1-Assumptions!B8)</f>
        <v>18279901287.899208</v>
      </c>
      <c r="J9" s="18">
        <f>J8*(1-Assumptions!B8)</f>
        <v>19822267959.06571</v>
      </c>
      <c r="K9" s="18">
        <f>K8*(1-Assumptions!B8)</f>
        <v>20317824658.042347</v>
      </c>
    </row>
    <row r="10" spans="1:11" x14ac:dyDescent="0.25">
      <c r="A10" t="s">
        <v>53</v>
      </c>
      <c r="B10" s="18">
        <f>B6*Assumptions!B9</f>
        <v>6862888344.547355</v>
      </c>
      <c r="C10" s="18">
        <f>C6*Assumptions!B9</f>
        <v>10294332516.821032</v>
      </c>
      <c r="D10" s="18">
        <f>D6*Assumptions!B9</f>
        <v>14830272782.0453</v>
      </c>
      <c r="E10" s="18">
        <f>E6*Assumptions!B9</f>
        <v>20484314280.20007</v>
      </c>
      <c r="F10" s="18">
        <f>F6*Assumptions!B9</f>
        <v>27077702939.139465</v>
      </c>
      <c r="G10" s="18">
        <f>G6*Assumptions!B9</f>
        <v>34185599960.663574</v>
      </c>
      <c r="H10" s="18">
        <f>H6*Assumptions!B9</f>
        <v>41129549952.67336</v>
      </c>
      <c r="I10" s="18">
        <f>I6*Assumptions!B9</f>
        <v>47041922758.37016</v>
      </c>
      <c r="J10" s="18">
        <f>J6*Assumptions!B9</f>
        <v>51011084991.10765</v>
      </c>
      <c r="K10" s="18">
        <f>K6*Assumptions!B9</f>
        <v>52286362115.88534</v>
      </c>
    </row>
    <row r="11" spans="1:11" x14ac:dyDescent="0.25">
      <c r="A11" t="s">
        <v>54</v>
      </c>
      <c r="B11" s="18">
        <f>-B6*B19</f>
        <v>-1222772451.335132</v>
      </c>
      <c r="C11" s="18">
        <f>-C6*C19</f>
        <v>-2080765770.16077</v>
      </c>
      <c r="D11" s="18">
        <f>-D6*D19</f>
        <v>-3352871531.2187066</v>
      </c>
      <c r="E11" s="18">
        <f>-E6*E19</f>
        <v>-5121868202.066884</v>
      </c>
      <c r="F11" s="18">
        <f>-F6*F19</f>
        <v>-7419132626.540138</v>
      </c>
      <c r="G11" s="18">
        <f>-G6*G19</f>
        <v>-10185592100.884806</v>
      </c>
      <c r="H11" s="18">
        <f>-H6*H19</f>
        <v>-13239824266.85511</v>
      </c>
      <c r="I11" s="18">
        <f>-I6*I19</f>
        <v>-16269967317.699835</v>
      </c>
      <c r="J11" s="18">
        <f>-J6*J19</f>
        <v>-18864747855.230923</v>
      </c>
      <c r="K11" s="18">
        <f>-K6*K19</f>
        <v>-20588918647.839363</v>
      </c>
    </row>
    <row r="12" spans="1:11" x14ac:dyDescent="0.25">
      <c r="A12" t="s">
        <v>55</v>
      </c>
      <c r="B12" s="18">
        <f>-(B6-Assumptions!B29)*Assumptions!B11</f>
        <v>-5053973644.074717</v>
      </c>
      <c r="C12" s="18">
        <f>-(C6-B6)*Assumptions!B11</f>
        <v>-7880774531.472984</v>
      </c>
      <c r="D12" s="18">
        <f>-(D6-C6)*Assumptions!B11</f>
        <v>-10417398833.790852</v>
      </c>
      <c r="E12" s="18">
        <f>-(E6-D6)*Assumptions!B11</f>
        <v>-12985269175.75499</v>
      </c>
      <c r="F12" s="18">
        <f>-(F6-E6)*Assumptions!B11</f>
        <v>-15142606672.526161</v>
      </c>
      <c r="G12" s="18">
        <f>-(G6-F6)*Assumptions!B11</f>
        <v>-16324244547.57887</v>
      </c>
      <c r="H12" s="18">
        <f>-(H6-G6)*Assumptions!B11</f>
        <v>-15947718073.639189</v>
      </c>
      <c r="I12" s="18">
        <f>-(I6-H6)*Assumptions!B11</f>
        <v>-13578561879.045677</v>
      </c>
      <c r="J12" s="18">
        <f>-(J6-I6)*Assumptions!B11</f>
        <v>-9115716609.288692</v>
      </c>
      <c r="K12" s="18">
        <f>-(K6-J6)*Assumptions!B11</f>
        <v>-2928845984.651073</v>
      </c>
    </row>
    <row r="13" spans="1:11" x14ac:dyDescent="0.25">
      <c r="A13" s="19" t="s">
        <v>56</v>
      </c>
      <c r="B13" s="20">
        <f>B9+B10+B11+B12</f>
        <v>3252974600.6250486</v>
      </c>
      <c r="C13" s="20">
        <f>C9+C10+C11+C12</f>
        <v>4333040742.418591</v>
      </c>
      <c r="D13" s="20">
        <f>D9+D10+D11+D12</f>
        <v>6822860451.578354</v>
      </c>
      <c r="E13" s="20">
        <f>E9+E10+E11+E12</f>
        <v>10337124562.59018</v>
      </c>
      <c r="F13" s="20">
        <f>F9+F10+F11+F12</f>
        <v>15038019453.415878</v>
      </c>
      <c r="G13" s="20">
        <f>G9+G10+G11+G12</f>
        <v>20959858776.545074</v>
      </c>
      <c r="H13" s="20">
        <f>H9+H10+H11+H12</f>
        <v>27924434967.719353</v>
      </c>
      <c r="I13" s="20">
        <f>I9+I10+I11+I12</f>
        <v>35473294849.52386</v>
      </c>
      <c r="J13" s="20">
        <f>J9+J10+J11+J12</f>
        <v>42852888485.65373</v>
      </c>
      <c r="K13" s="20">
        <f>K9+K10+K11+K12</f>
        <v>49086422141.437256</v>
      </c>
    </row>
    <row r="14" spans="1:11" x14ac:dyDescent="0.25">
      <c r="A14" t="s">
        <v>57</v>
      </c>
      <c r="B14" s="21">
        <f>1/(1+Assumptions!$B$26)^(1-0.5*Assumptions!$B$32)</f>
        <v>0.9398765007427813</v>
      </c>
      <c r="C14" s="21">
        <f>1/(1+Assumptions!$B$26)^(2-0.5*Assumptions!$B$32)</f>
        <v>0.8302566711779087</v>
      </c>
      <c r="D14" s="21">
        <f>1/(1+Assumptions!$B$26)^(3-0.5*Assumptions!$B$32)</f>
        <v>0.7334220394814105</v>
      </c>
      <c r="E14" s="21">
        <f>1/(1+Assumptions!$B$26)^(4-0.5*Assumptions!$B$32)</f>
        <v>0.647881440367021</v>
      </c>
      <c r="F14" s="21">
        <f>1/(1+Assumptions!$B$26)^(5-0.5*Assumptions!$B$32)</f>
        <v>0.5723176263817265</v>
      </c>
      <c r="G14" s="21">
        <f>1/(1+Assumptions!$B$26)^(6-0.5*Assumptions!$B$32)</f>
        <v>0.5055669834926276</v>
      </c>
      <c r="H14" s="21">
        <f>1/(1+Assumptions!$B$26)^(7-0.5*Assumptions!$B$32)</f>
        <v>0.44660161248878805</v>
      </c>
      <c r="I14" s="21">
        <f>1/(1+Assumptions!$B$26)^(8-0.5*Assumptions!$B$32)</f>
        <v>0.39451350026795035</v>
      </c>
      <c r="J14" s="21">
        <f>1/(1+Assumptions!$B$26)^(9-0.5*Assumptions!$B$32)</f>
        <v>0.3485005372603249</v>
      </c>
      <c r="K14" s="21">
        <f>1/(1+Assumptions!$B$26)^(10-0.5*Assumptions!$B$32)</f>
        <v>0.30785416567049156</v>
      </c>
    </row>
    <row r="15" spans="1:11" x14ac:dyDescent="0.25">
      <c r="A15" s="19" t="s">
        <v>58</v>
      </c>
      <c r="B15" s="20">
        <f>B13*B14</f>
        <v>3057394384.6406174</v>
      </c>
      <c r="C15" s="20">
        <f>C13*C14</f>
        <v>3597535982.878713</v>
      </c>
      <c r="D15" s="20">
        <f>D13*D14</f>
        <v>5004036227.493653</v>
      </c>
      <c r="E15" s="20">
        <f>E13*E14</f>
        <v>6697231150.864238</v>
      </c>
      <c r="F15" s="20">
        <f>F13*F14</f>
        <v>8606523599.061203</v>
      </c>
      <c r="G15" s="20">
        <f>G13*G14</f>
        <v>10596612576.08937</v>
      </c>
      <c r="H15" s="20">
        <f>H13*H14</f>
        <v>12471097684.42176</v>
      </c>
      <c r="I15" s="20">
        <f>I13*I14</f>
        <v>13994693717.122711</v>
      </c>
      <c r="J15" s="20">
        <f>J13*J14</f>
        <v>14934254660.407118</v>
      </c>
      <c r="K15" s="20">
        <f>K13*K14</f>
        <v>15111459534.10171</v>
      </c>
    </row>
    <row r="17" spans="1:2" x14ac:dyDescent="0.25">
      <c r="A17" s="22" t="s">
        <v>59</v>
      </c>
      <c r="B17" s="23">
        <f>SUM(B15:K15)</f>
        <v>94070839517.0811</v>
      </c>
    </row>
    <row r="19" spans="1:11" x14ac:dyDescent="0.25">
      <c r="A19" t="s">
        <v>7</v>
      </c>
      <c r="B19" s="9">
        <f>Assumptions!$B$10+($B$20-Assumptions!$B$10)*0/9</f>
        <v>0.023981290152045056</v>
      </c>
      <c r="C19" s="9">
        <f>Assumptions!$B$10+($B$20-Assumptions!$B$10)*1/9</f>
        <v>0.027205632914057587</v>
      </c>
      <c r="D19" s="9">
        <f>Assumptions!$B$10+($B$20-Assumptions!$B$10)*2/9</f>
        <v>0.030429975676070118</v>
      </c>
      <c r="E19" s="9">
        <f>Assumptions!$B$10+($B$20-Assumptions!$B$10)*3/9</f>
        <v>0.03365431843808265</v>
      </c>
      <c r="F19" s="9">
        <f>Assumptions!$B$10+($B$20-Assumptions!$B$10)*4/9</f>
        <v>0.036878661200095184</v>
      </c>
      <c r="G19" s="9">
        <f>Assumptions!$B$10+($B$20-Assumptions!$B$10)*5/9</f>
        <v>0.04010300396210771</v>
      </c>
      <c r="H19" s="9">
        <f>Assumptions!$B$10+($B$20-Assumptions!$B$10)*6/9</f>
        <v>0.043327346724120246</v>
      </c>
      <c r="I19" s="9">
        <f>Assumptions!$B$10+($B$20-Assumptions!$B$10)*7/9</f>
        <v>0.04655168948613278</v>
      </c>
      <c r="J19" s="9">
        <f>Assumptions!$B$10+($B$20-Assumptions!$B$10)*8/9</f>
        <v>0.04977603224814531</v>
      </c>
      <c r="K19" s="9">
        <f>Assumptions!$B$10+($B$20-Assumptions!$B$10)*9/9</f>
        <v>0.05300037501015784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0.05300037501015784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49086422141.437256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54247668362.91602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0.189349106469502</v>
      </c>
    </row>
    <row r="7" spans="1:2" x14ac:dyDescent="0.25">
      <c r="A7" t="s">
        <v>66</v>
      </c>
      <c r="B7" s="18">
        <f>-MAX(B5,0)*B6</f>
        <v>-10271747532.572021</v>
      </c>
    </row>
    <row r="8" spans="1:2" x14ac:dyDescent="0.25">
      <c r="A8" t="s">
        <v>67</v>
      </c>
      <c r="B8" s="18">
        <f>IF(OR(Assumptions!$B$33=0,Assumptions!B12&lt;=0),B5,MAX(B5+B7,0))</f>
        <v>43975920830.344</v>
      </c>
    </row>
    <row r="9" spans="1:2" x14ac:dyDescent="0.25">
      <c r="A9" t="s">
        <v>68</v>
      </c>
      <c r="B9" s="18">
        <f>B8*(1+Assumptions!B12)/(Assumptions!B26-Assumptions!B12)</f>
        <v>421141648835.4528</v>
      </c>
    </row>
    <row r="10" spans="1:2" x14ac:dyDescent="0.25">
      <c r="A10" t="s">
        <v>69</v>
      </c>
      <c r="B10" s="18">
        <f>B9/(1+Assumptions!B26)^(10-0.5*Assumptions!B32)</f>
        <v>129650210931.33347</v>
      </c>
    </row>
    <row r="11" spans="1:2" x14ac:dyDescent="0.25">
      <c r="A11" t="s">
        <v>70</v>
      </c>
      <c r="B11" s="18">
        <f>Forecast!B17+B10</f>
        <v>223721050448.41455</v>
      </c>
    </row>
    <row r="12" spans="1:2" x14ac:dyDescent="0.25">
      <c r="A12" t="s">
        <v>71</v>
      </c>
      <c r="B12" s="18">
        <f>-Assumptions!B30</f>
        <v>6705000000</v>
      </c>
    </row>
    <row r="13" spans="1:2" x14ac:dyDescent="0.25">
      <c r="A13" t="s">
        <v>72</v>
      </c>
      <c r="B13" s="18">
        <f>B11+B12</f>
        <v>230426050448.41455</v>
      </c>
    </row>
    <row r="14" spans="1:2" x14ac:dyDescent="0.25">
      <c r="A14" s="19" t="s">
        <v>73</v>
      </c>
      <c r="B14" s="24">
        <f>B13/Assumptions!B31</f>
        <v>140.84721910049788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77418298213.42653</v>
      </c>
    </row>
    <row r="18" spans="1:2" x14ac:dyDescent="0.25">
      <c r="A18" t="s">
        <v>68</v>
      </c>
      <c r="B18" s="18">
        <f>B17*Assumptions!B13</f>
        <v>1548365964268.5305</v>
      </c>
    </row>
    <row r="19" spans="1:2" x14ac:dyDescent="0.25">
      <c r="A19" t="s">
        <v>69</v>
      </c>
      <c r="B19" s="18">
        <f>B18/(1+Assumptions!B26)^(10-0.5*Assumptions!B32)</f>
        <v>476670912082.4746</v>
      </c>
    </row>
    <row r="20" spans="1:2" x14ac:dyDescent="0.25">
      <c r="A20" t="s">
        <v>70</v>
      </c>
      <c r="B20" s="18">
        <f>Forecast!B17+B19</f>
        <v>570741751599.5557</v>
      </c>
    </row>
    <row r="21" spans="1:2" x14ac:dyDescent="0.25">
      <c r="A21" t="s">
        <v>71</v>
      </c>
      <c r="B21" s="18">
        <f>-Assumptions!B30</f>
        <v>6705000000</v>
      </c>
    </row>
    <row r="22" spans="1:2" x14ac:dyDescent="0.25">
      <c r="A22" t="s">
        <v>72</v>
      </c>
      <c r="B22" s="18">
        <f>B20+B21</f>
        <v>577446751599.5557</v>
      </c>
    </row>
    <row r="23" spans="1:2" x14ac:dyDescent="0.25">
      <c r="A23" s="19" t="s">
        <v>73</v>
      </c>
      <c r="B23" s="25">
        <f>B22/Assumptions!B31</f>
        <v>352.9625621024179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504.8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140.84721910049788</v>
      </c>
    </row>
    <row r="29" spans="1:2" x14ac:dyDescent="0.25">
      <c r="A29" s="19" t="s">
        <v>81</v>
      </c>
      <c r="B29" s="11">
        <f>B28/B26-1</f>
        <v>-0.7209841143017078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0.112031</v>
      </c>
      <c r="B5" s="31">
        <v>181.39814612505492</v>
      </c>
      <c r="C5" s="31">
        <v>179.27817004797086</v>
      </c>
      <c r="D5" s="31">
        <v>177.15819397088683</v>
      </c>
      <c r="E5" s="31">
        <v>175.0382178938028</v>
      </c>
      <c r="F5" s="31">
        <v>172.91824181671873</v>
      </c>
    </row>
    <row r="6" spans="1:6" x14ac:dyDescent="0.25">
      <c r="A6" s="30">
        <v>0.122031</v>
      </c>
      <c r="B6" s="31">
        <v>161.0306069983487</v>
      </c>
      <c r="C6" s="31">
        <v>159.19384461451907</v>
      </c>
      <c r="D6" s="31">
        <v>157.35708223068946</v>
      </c>
      <c r="E6" s="31">
        <v>155.52031984685996</v>
      </c>
      <c r="F6" s="31">
        <v>153.6835574630303</v>
      </c>
    </row>
    <row r="7" spans="1:6" x14ac:dyDescent="0.25">
      <c r="A7" s="30">
        <v>0.132031</v>
      </c>
      <c r="B7" s="31">
        <v>144.05434922672782</v>
      </c>
      <c r="C7" s="31">
        <v>142.45097629772346</v>
      </c>
      <c r="D7" s="32">
        <v>140.84760336871906</v>
      </c>
      <c r="E7" s="31">
        <v>139.2442304397147</v>
      </c>
      <c r="F7" s="31">
        <v>137.64085751071028</v>
      </c>
    </row>
    <row r="8" spans="1:6" x14ac:dyDescent="0.25">
      <c r="A8" s="30">
        <v>0.142031</v>
      </c>
      <c r="B8" s="31">
        <v>129.73399603959976</v>
      </c>
      <c r="C8" s="31">
        <v>128.32521874826577</v>
      </c>
      <c r="D8" s="31">
        <v>126.91644145693179</v>
      </c>
      <c r="E8" s="31">
        <v>125.50766416559782</v>
      </c>
      <c r="F8" s="31">
        <v>124.0988868742638</v>
      </c>
    </row>
    <row r="9" spans="1:6" x14ac:dyDescent="0.25">
      <c r="A9" s="30">
        <v>0.152031</v>
      </c>
      <c r="B9" s="31">
        <v>117.52900717739614</v>
      </c>
      <c r="C9" s="31">
        <v>116.28411832470043</v>
      </c>
      <c r="D9" s="31">
        <v>115.03922947200468</v>
      </c>
      <c r="E9" s="31">
        <v>113.79434061930894</v>
      </c>
      <c r="F9" s="31">
        <v>112.5494517666132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34639000000</v>
      </c>
      <c r="C5" s="18">
        <v>25785000000</v>
      </c>
      <c r="D5" s="18">
        <v>22680000000</v>
      </c>
      <c r="E5" s="18">
        <v>23601000000</v>
      </c>
      <c r="F5" s="6" t="s">
        <v>91</v>
      </c>
    </row>
    <row r="6" spans="1:6" x14ac:dyDescent="0.25">
      <c r="A6" t="s">
        <v>51</v>
      </c>
      <c r="B6" s="18">
        <v>3694000000</v>
      </c>
      <c r="C6" s="18">
        <v>2086000000</v>
      </c>
      <c r="D6" s="18">
        <v>401000000</v>
      </c>
      <c r="E6" s="18">
        <v>1264000000</v>
      </c>
      <c r="F6" s="6" t="s">
        <v>92</v>
      </c>
    </row>
    <row r="7" spans="1:6" x14ac:dyDescent="0.25">
      <c r="A7" t="s">
        <v>93</v>
      </c>
      <c r="B7" s="18">
        <v>3004000000</v>
      </c>
      <c r="C7" s="18">
        <v>3064000000</v>
      </c>
      <c r="D7" s="18">
        <v>3453000000</v>
      </c>
      <c r="E7" s="18">
        <v>4262000000</v>
      </c>
      <c r="F7" s="6" t="s">
        <v>94</v>
      </c>
    </row>
    <row r="8" spans="1:6" x14ac:dyDescent="0.25">
      <c r="A8" t="s">
        <v>95</v>
      </c>
      <c r="B8" s="18">
        <v>974000000</v>
      </c>
      <c r="C8" s="18">
        <v>636000000</v>
      </c>
      <c r="D8" s="18">
        <v>546000000</v>
      </c>
      <c r="E8" s="18">
        <v>450000000</v>
      </c>
      <c r="F8" s="6" t="s">
        <v>96</v>
      </c>
    </row>
    <row r="9" spans="1:6" x14ac:dyDescent="0.25">
      <c r="A9" t="s">
        <v>97</v>
      </c>
      <c r="B9" s="18">
        <v>2378000000</v>
      </c>
      <c r="C9" s="18">
        <v>2098000000</v>
      </c>
      <c r="D9" s="18">
        <v>3049000000</v>
      </c>
      <c r="E9" s="18">
        <v>1846000000</v>
      </c>
      <c r="F9" s="6" t="s">
        <v>98</v>
      </c>
    </row>
    <row r="10" spans="1:6" x14ac:dyDescent="0.25">
      <c r="A10" t="s">
        <v>99</v>
      </c>
      <c r="B10" s="18">
        <v>3847000000</v>
      </c>
      <c r="C10" s="18">
        <v>2212000000</v>
      </c>
      <c r="D10" s="18">
        <v>3003000000</v>
      </c>
      <c r="E10" s="18">
        <v>2863000000</v>
      </c>
      <c r="F10" s="6" t="s">
        <v>100</v>
      </c>
    </row>
    <row r="11" spans="1:6" x14ac:dyDescent="0.25">
      <c r="A11" t="s">
        <v>101</v>
      </c>
      <c r="B11" s="18">
        <v>10552000000</v>
      </c>
      <c r="C11" s="18">
        <v>5132000000</v>
      </c>
      <c r="D11" s="18">
        <v>5773000000</v>
      </c>
      <c r="E11" s="18">
        <v>5855000000</v>
      </c>
      <c r="F11" s="6" t="s">
        <v>102</v>
      </c>
    </row>
    <row r="12" spans="1:6" x14ac:dyDescent="0.25">
      <c r="A12" t="s">
        <v>34</v>
      </c>
      <c r="B12" s="34">
        <v>1636000000</v>
      </c>
      <c r="C12" s="34">
        <v>1637000000</v>
      </c>
      <c r="D12" s="34">
        <v>1625000000</v>
      </c>
      <c r="E12" s="34">
        <v>1571000000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