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<sst xmlns="http://schemas.openxmlformats.org/spreadsheetml/2006/main" count="113" uniqueCount="101">
  <si>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Advanced Micro Devices, Inc. (AMD)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</si>
  <si>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</si>
  <si>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</si>
  <si>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</si>
  <si>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</si>
  <si>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</si>
  <si>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</si>
  <si>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</si>
  <si>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</si>
  <si>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</si>
  <si>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</si>
  <si>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</si>
  <si>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</si>
  <si>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</si>
  <si>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</si>
  <si>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</si>
  <si>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</si>
  <si>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</si>
  <si>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</si>
  <si>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</si>
  <si>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</si>
  <si>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</si>
  <si>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</si>
  <si>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</si>
  <si>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</si>
  <si>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</si>
  <si>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</si>
  <si>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</si>
  <si>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</si>
  <si>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</si>
  <si>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</si>
  <si>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</si>
  <si>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</si>
  <si>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</si>
  <si>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</si>
  <si>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</si>
  <si>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</si>
  <si>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</si>
  <si>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</si>
  <si>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</si>
  <si>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</si>
  <si>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</si>
  <si>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</si>
  <si>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</si>
  <si>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</si>
  <si>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</si>
  <si>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</si>
  <si>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</si>
  <si>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</si>
  <si>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</si>
  <si>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</si>
  <si>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</si>
  <si>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</si>
  <si>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</si>
  <si>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</si>
  <si>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</si>
  <si>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</si>
  <si>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</si>
  <si>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</si>
  <si>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</si>
  <si>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</si>
  <si>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</si>
  <si>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</si>
  <si>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</si>
  <si>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</si>
  <si>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</si>
  <si>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</si>
  <si>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</si>
  <si>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</si>
  <si>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</si>
  <si>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</si>
  <si>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</si>
  <si>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</si>
  <si>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</si>
  <si>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</si>
  <si>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</si>
  <si>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</si>
  <si>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</si>
  <si>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</si>
  <si>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</si>
  <si>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</si>
  <si>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</si>
  <si>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</si>
  <si>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</si>
  <si>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</si>
  <si>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</si>
  <si>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</si>
  <si>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</si>
  <si>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</si>
  <si>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</si>
  <si>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</si>
  <si>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</si>
  <si>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</si>
  <si>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</si>
  <si>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</si>
  <si>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</si>
  <si>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</si>
  <si>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</si>
  <si>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6.6% of the market price. A gap that size is a modelling failure rather than a view - most often an unusable beta, a currency or units mismatch, or a cashflow base that does not represent the business. Read the figures below as diagnostics, not as a call.</t>
  </si>
  <si>
    <t>Current EV/EBITDA of 135.4x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</si>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</sst>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0.13643599335368428</v>
      </c>
    </row>
    <row r="7" spans="1:2" x14ac:dyDescent="0.25">
      <c r="A7" t="s">
        <v>5</v>
      </c>
      <c r="B7" s="6">
        <v>0.06469509451584474</v>
      </c>
    </row>
    <row r="8" spans="1:2" x14ac:dyDescent="0.25">
      <c r="A8" t="s">
        <v>6</v>
      </c>
      <c r="B8" s="6">
        <v>0.19155354449472098</v>
      </c>
    </row>
    <row r="9" spans="1:2" x14ac:dyDescent="0.25">
      <c r="A9" t="s">
        <v>7</v>
      </c>
      <c r="B9" s="6">
        <v>0.1345965199755475</v>
      </c>
    </row>
    <row r="10" spans="1:2" x14ac:dyDescent="0.25">
      <c r="A10" t="s">
        <v>8</v>
      </c>
      <c r="B10" s="6">
        <v>0.023981290152045056</v>
      </c>
    </row>
    <row r="11" spans="1:2" x14ac:dyDescent="0.25">
      <c r="A11" t="s">
        <v>9</v>
      </c>
      <c r="B11" s="6">
        <v>0.268579173255026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0.15887192212469148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1.9889200000000002</v>
      </c>
      <c r="C19" s="8" t="s">
        <v>19</v>
      </c>
    </row>
    <row r="20" spans="1:2" x14ac:dyDescent="0.25">
      <c r="A20" t="s">
        <v>20</v>
      </c>
      <c r="B20" s="10">
        <f>B17+B19*B18</f>
        <v>0.15937060000000003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913892179968</v>
      </c>
    </row>
    <row r="23" spans="1:2" x14ac:dyDescent="0.25">
      <c r="A23" t="s">
        <v>24</v>
      </c>
      <c r="B23" s="11">
        <v>3847000000</v>
      </c>
    </row>
    <row r="24" spans="1:2" x14ac:dyDescent="0.25">
      <c r="A24" t="s">
        <v>25</v>
      </c>
      <c r="B24" s="10">
        <f>B22/(B22+B23)</f>
        <v>0.9958081772207501</v>
      </c>
    </row>
    <row r="25" spans="1:2" x14ac:dyDescent="0.25">
      <c r="A25" t="s">
        <v>26</v>
      </c>
      <c r="B25" s="10">
        <f>1-B24</f>
        <v>0.0041918227792498985</v>
      </c>
    </row>
    <row r="26" spans="1:2" x14ac:dyDescent="0.25">
      <c r="A26" t="s">
        <v>27</v>
      </c>
      <c r="B26" s="12">
        <f>B24*B20+B25*B21*(1-B8)</f>
        <v>0.15887192212469148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34639000000</v>
      </c>
      <c r="C29" s="8" t="s">
        <v>30</v>
      </c>
    </row>
    <row r="30" spans="1:2" x14ac:dyDescent="0.25">
      <c r="A30" t="s">
        <v>31</v>
      </c>
      <c r="B30" s="11">
        <v>-6705000000</v>
      </c>
    </row>
    <row r="31" spans="1:2" x14ac:dyDescent="0.25">
      <c r="A31" t="s">
        <v>32</v>
      </c>
      <c r="B31" s="13">
        <v>1636000000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0.13643599335368428</v>
      </c>
      <c r="C5" s="10">
        <f>Assumptions!B6</f>
        <v>0.13643599335368428</v>
      </c>
      <c r="D5" s="10">
        <f>Assumptions!B6</f>
        <v>0.13643599335368428</v>
      </c>
      <c r="E5" s="10">
        <f>Assumptions!B6</f>
        <v>0.13643599335368428</v>
      </c>
      <c r="F5" s="10">
        <f>Assumptions!B6</f>
        <v>0.13643599335368428</v>
      </c>
    </row>
    <row r="6" spans="1:6" x14ac:dyDescent="0.25">
      <c r="A6" t="s">
        <v>43</v>
      </c>
      <c r="B6" s="18">
        <f>Assumptions!B29*(1+B5)</f>
        <v>39365006373.77827</v>
      </c>
      <c r="C6" s="18">
        <f>B6*(1+C5)</f>
        <v>44735810121.75882</v>
      </c>
      <c r="D6" s="18">
        <f>C6*(1+D5)</f>
        <v>50839384814.20279</v>
      </c>
      <c r="E6" s="18">
        <f>D6*(1+E5)</f>
        <v>57775706782.818756</v>
      </c>
      <c r="F6" s="18">
        <f>E6*(1+F5)</f>
        <v>65658392729.443825</v>
      </c>
    </row>
    <row r="7" spans="1:6" x14ac:dyDescent="0.25">
      <c r="A7" t="s">
        <v>5</v>
      </c>
      <c r="B7" s="10">
        <f>Assumptions!B7</f>
        <v>0.06469509451584474</v>
      </c>
      <c r="C7" s="10">
        <f>Assumptions!B7</f>
        <v>0.06469509451584474</v>
      </c>
      <c r="D7" s="10">
        <f>Assumptions!B7</f>
        <v>0.06469509451584474</v>
      </c>
      <c r="E7" s="10">
        <f>Assumptions!B7</f>
        <v>0.06469509451584474</v>
      </c>
      <c r="F7" s="10">
        <f>Assumptions!B7</f>
        <v>0.06469509451584474</v>
      </c>
    </row>
    <row r="8" spans="1:6" x14ac:dyDescent="0.25">
      <c r="A8" t="s">
        <v>44</v>
      </c>
      <c r="B8" s="18">
        <f>B6*B7</f>
        <v>2546722807.9684153</v>
      </c>
      <c r="C8" s="18">
        <f>C6*C7</f>
        <v>2894187464.0700703</v>
      </c>
      <c r="D8" s="18">
        <f>D6*D7</f>
        <v>3289058805.682251</v>
      </c>
      <c r="E8" s="18">
        <f>E6*E7</f>
        <v>3737804811.034191</v>
      </c>
      <c r="F8" s="18">
        <f>F6*F7</f>
        <v>4247775923.389821</v>
      </c>
    </row>
    <row r="9" spans="1:6" x14ac:dyDescent="0.25">
      <c r="A9" t="s">
        <v>45</v>
      </c>
      <c r="B9" s="18">
        <f>B8*(1-Assumptions!B8)</f>
        <v>2058889027.2565167</v>
      </c>
      <c r="C9" s="18">
        <f>C8*(1-Assumptions!B8)</f>
        <v>2339795596.8952603</v>
      </c>
      <c r="D9" s="18">
        <f>D8*(1-Assumptions!B8)</f>
        <v>2659027933.402242</v>
      </c>
      <c r="E9" s="18">
        <f>E8*(1-Assumptions!B8)</f>
        <v>3021815050.851171</v>
      </c>
      <c r="F9" s="18">
        <f>F8*(1-Assumptions!B8)</f>
        <v>3434099389.0451646</v>
      </c>
    </row>
    <row r="10" spans="1:6" x14ac:dyDescent="0.25">
      <c r="A10" t="s">
        <v>46</v>
      </c>
      <c r="B10" s="18">
        <f>B6*Assumptions!B9</f>
        <v>5298392866.725801</v>
      </c>
      <c r="C10" s="18">
        <f>C6*Assumptions!B9</f>
        <v>6021284360.6756115</v>
      </c>
      <c r="D10" s="18">
        <f>D6*Assumptions!B9</f>
        <v>6842804273.689392</v>
      </c>
      <c r="E10" s="18">
        <f>E6*Assumptions!B9</f>
        <v>7776409072.09504</v>
      </c>
      <c r="F10" s="18">
        <f>F6*Assumptions!B9</f>
        <v>8837391168.570929</v>
      </c>
    </row>
    <row r="11" spans="1:6" x14ac:dyDescent="0.25">
      <c r="A11" t="s">
        <v>47</v>
      </c>
      <c r="B11" s="18">
        <f>-B6*Assumptions!B10</f>
        <v>-944023639.6866796</v>
      </c>
      <c r="C11" s="18">
        <f>-C6*Assumptions!B10</f>
        <v>-1072822442.7166923</v>
      </c>
      <c r="D11" s="18">
        <f>-D6*Assumptions!B10</f>
        <v>-1219194038.3808703</v>
      </c>
      <c r="E11" s="18">
        <f>-E6*Assumptions!B10</f>
        <v>-1385535988.0982542</v>
      </c>
      <c r="F11" s="18">
        <f>-F6*Assumptions!B10</f>
        <v>-1574572966.9617178</v>
      </c>
    </row>
    <row r="12" spans="1:6" x14ac:dyDescent="0.25">
      <c r="A12" t="s">
        <v>48</v>
      </c>
      <c r="B12" s="18">
        <f>-(B6-Assumptions!B29)*Assumptions!B11</f>
        <v>-1269306884.6673503</v>
      </c>
      <c r="C12" s="18">
        <f>-(C6-B6)*Assumptions!B11</f>
        <v>-1442486030.347612</v>
      </c>
      <c r="D12" s="18">
        <f>-(D6-C6)*Assumptions!B11</f>
        <v>-1639293044.796901</v>
      </c>
      <c r="E12" s="18">
        <f>-(E6-D6)*Assumptions!B11</f>
        <v>-1862951619.761551</v>
      </c>
      <c r="F12" s="18">
        <f>-(F6-E6)*Assumptions!B11</f>
        <v>-2117125274.5735729</v>
      </c>
    </row>
    <row r="13" spans="1:6" x14ac:dyDescent="0.25">
      <c r="A13" s="19" t="s">
        <v>49</v>
      </c>
      <c r="B13" s="20">
        <f>B9+B10+B11+B12</f>
        <v>5143951369.628288</v>
      </c>
      <c r="C13" s="20">
        <f>C9+C10+C11+C12</f>
        <v>5845771484.506567</v>
      </c>
      <c r="D13" s="20">
        <f>D9+D10+D11+D12</f>
        <v>6643345123.913863</v>
      </c>
      <c r="E13" s="20">
        <f>E9+E10+E11+E12</f>
        <v>7549736515.086407</v>
      </c>
      <c r="F13" s="20">
        <f>F9+F10+F11+F12</f>
        <v>8579792316.080802</v>
      </c>
    </row>
    <row r="14" spans="1:6" x14ac:dyDescent="0.25">
      <c r="A14" t="s">
        <v>50</v>
      </c>
      <c r="B14" s="21">
        <f>1/(1+Assumptions!$B$26)^(1-0.5*Assumptions!$B$32)</f>
        <v>0.9289284833681766</v>
      </c>
      <c r="C14" s="21">
        <f>1/(1+Assumptions!$B$26)^(2-0.5*Assumptions!$B$32)</f>
        <v>0.8015799378977674</v>
      </c>
      <c r="D14" s="21">
        <f>1/(1+Assumptions!$B$26)^(3-0.5*Assumptions!$B$32)</f>
        <v>0.6916898430226351</v>
      </c>
      <c r="E14" s="21">
        <f>1/(1+Assumptions!$B$26)^(4-0.5*Assumptions!$B$32)</f>
        <v>0.5968647870547089</v>
      </c>
      <c r="F14" s="21">
        <f>1/(1+Assumptions!$B$26)^(5-0.5*Assumptions!$B$32)</f>
        <v>0.5150394755965861</v>
      </c>
    </row>
    <row r="15" spans="1:6" x14ac:dyDescent="0.25">
      <c r="A15" s="19" t="s">
        <v>51</v>
      </c>
      <c r="B15" s="20">
        <f>B13*B14</f>
        <v>4778362944.30846</v>
      </c>
      <c r="C15" s="20">
        <f>C13*C14</f>
        <v>4685853143.515313</v>
      </c>
      <c r="D15" s="20">
        <f>D13*D14</f>
        <v>4595134345.905169</v>
      </c>
      <c r="E15" s="20">
        <f>E13*E14</f>
        <v>4506171877.396209</v>
      </c>
      <c r="F15" s="20">
        <f>F13*F14</f>
        <v>4418931735.201876</v>
      </c>
    </row>
    <row r="17" spans="1:2" x14ac:dyDescent="0.25">
      <c r="A17" s="22" t="s">
        <v>52</v>
      </c>
      <c r="B17" s="23">
        <f>SUM(B15:F15)</f>
        <v>22984454046.327026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8579792316.080802</v>
      </c>
    </row>
    <row r="5" spans="1:2" x14ac:dyDescent="0.25">
      <c r="A5" t="s">
        <v>56</v>
      </c>
      <c r="B5" s="18">
        <f>IF(Assumptions!$B$33=0,B4,B4-Forecast!F11-Forecast!F10-Forecast!F12)</f>
        <v>9168889284.044256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0.15735946078866359</v>
      </c>
    </row>
    <row r="7" spans="1:2" x14ac:dyDescent="0.25">
      <c r="A7" t="s">
        <v>58</v>
      </c>
      <c r="B7" s="18">
        <f>-MAX(Forecast!F9,0)*B6</f>
        <v>-1442811473.7681599</v>
      </c>
    </row>
    <row r="8" spans="1:2" x14ac:dyDescent="0.25">
      <c r="A8" t="s">
        <v>59</v>
      </c>
      <c r="B8" s="18">
        <f>IF(OR(Assumptions!$B$33=0,Assumptions!B12&lt;=0),B5,MAX(B5+B7,0))</f>
        <v>7726077810.276096</v>
      </c>
    </row>
    <row r="9" spans="1:2" x14ac:dyDescent="0.25">
      <c r="A9" t="s">
        <v>60</v>
      </c>
      <c r="B9" s="18">
        <f>B8*(1+Assumptions!B12)/(Assumptions!B26-Assumptions!B12)</f>
        <v>59155270424.49454</v>
      </c>
    </row>
    <row r="10" spans="1:2" x14ac:dyDescent="0.25">
      <c r="A10" t="s">
        <v>61</v>
      </c>
      <c r="B10" s="18">
        <f>B9/(1+Assumptions!B26)^(5-0.5*Assumptions!B32)</f>
        <v>30467299458.20591</v>
      </c>
    </row>
    <row r="11" spans="1:2" x14ac:dyDescent="0.25">
      <c r="A11" t="s">
        <v>62</v>
      </c>
      <c r="B11" s="18">
        <f>Forecast!B17+B10</f>
        <v>53451753504.532936</v>
      </c>
    </row>
    <row r="12" spans="1:2" x14ac:dyDescent="0.25">
      <c r="A12" t="s">
        <v>63</v>
      </c>
      <c r="B12" s="18">
        <f>-Assumptions!B30</f>
        <v>6705000000</v>
      </c>
    </row>
    <row r="13" spans="1:2" x14ac:dyDescent="0.25">
      <c r="A13" t="s">
        <v>64</v>
      </c>
      <c r="B13" s="18">
        <f>B11+B12</f>
        <v>60156753504.532936</v>
      </c>
    </row>
    <row r="14" spans="1:2" x14ac:dyDescent="0.25">
      <c r="A14" s="19" t="s">
        <v>65</v>
      </c>
      <c r="B14" s="24">
        <f>B13/Assumptions!B31</f>
        <v>36.770631726487125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13085167091.96075</v>
      </c>
    </row>
    <row r="18" spans="1:2" x14ac:dyDescent="0.25">
      <c r="A18" t="s">
        <v>60</v>
      </c>
      <c r="B18" s="18">
        <f>B17*Assumptions!B13</f>
        <v>261703341839.21503</v>
      </c>
    </row>
    <row r="19" spans="1:2" x14ac:dyDescent="0.25">
      <c r="A19" t="s">
        <v>61</v>
      </c>
      <c r="B19" s="18">
        <f>B18/(1+Assumptions!B26)^(5-0.5*Assumptions!B32)</f>
        <v>134787551942.74342</v>
      </c>
    </row>
    <row r="20" spans="1:2" x14ac:dyDescent="0.25">
      <c r="A20" t="s">
        <v>62</v>
      </c>
      <c r="B20" s="18">
        <f>Forecast!B17+B19</f>
        <v>157772005989.07043</v>
      </c>
    </row>
    <row r="21" spans="1:2" x14ac:dyDescent="0.25">
      <c r="A21" t="s">
        <v>63</v>
      </c>
      <c r="B21" s="18">
        <f>-Assumptions!B30</f>
        <v>6705000000</v>
      </c>
    </row>
    <row r="22" spans="1:2" x14ac:dyDescent="0.25">
      <c r="A22" t="s">
        <v>64</v>
      </c>
      <c r="B22" s="18">
        <f>B20+B21</f>
        <v>164477005989.07043</v>
      </c>
    </row>
    <row r="23" spans="1:2" x14ac:dyDescent="0.25">
      <c r="A23" s="19" t="s">
        <v>65</v>
      </c>
      <c r="B23" s="25">
        <f>B22/Assumptions!B31</f>
        <v>100.53606723048316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559.82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36.770631726487125</v>
      </c>
    </row>
    <row r="29" spans="1:2" x14ac:dyDescent="0.25">
      <c r="A29" s="19" t="s">
        <v>73</v>
      </c>
      <c r="B29" s="12">
        <f>B28/B26-1</f>
        <v>-0.9343170452529614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0.138872</v>
      </c>
      <c r="B5" s="31">
        <v>41.58342408006237</v>
      </c>
      <c r="C5" s="31">
        <v>41.6958202786754</v>
      </c>
      <c r="D5" s="31">
        <v>41.80821647728842</v>
      </c>
      <c r="E5" s="31">
        <v>41.92061267590145</v>
      </c>
      <c r="F5" s="31">
        <v>42.033008874514486</v>
      </c>
    </row>
    <row r="6" spans="1:6" x14ac:dyDescent="0.25">
      <c r="A6" s="30">
        <v>0.148872</v>
      </c>
      <c r="B6" s="31">
        <v>38.91426755701607</v>
      </c>
      <c r="C6" s="31">
        <v>39.0150692921752</v>
      </c>
      <c r="D6" s="31">
        <v>39.11587102733432</v>
      </c>
      <c r="E6" s="31">
        <v>39.21667276249345</v>
      </c>
      <c r="F6" s="31">
        <v>39.31747449765258</v>
      </c>
    </row>
    <row r="7" spans="1:6" x14ac:dyDescent="0.25">
      <c r="A7" s="30">
        <v>0.158872</v>
      </c>
      <c r="B7" s="31">
        <v>36.588926556033215</v>
      </c>
      <c r="C7" s="31">
        <v>36.67977059953806</v>
      </c>
      <c r="D7" s="32">
        <v>36.77061464304289</v>
      </c>
      <c r="E7" s="31">
        <v>36.86145868654774</v>
      </c>
      <c r="F7" s="31">
        <v>36.95230273005258</v>
      </c>
    </row>
    <row r="8" spans="1:6" x14ac:dyDescent="0.25">
      <c r="A8" s="30">
        <v>0.168872</v>
      </c>
      <c r="B8" s="31">
        <v>34.54597358200509</v>
      </c>
      <c r="C8" s="31">
        <v>34.628196803351386</v>
      </c>
      <c r="D8" s="31">
        <v>34.71042002469768</v>
      </c>
      <c r="E8" s="31">
        <v>34.792643246043994</v>
      </c>
      <c r="F8" s="31">
        <v>34.87486646739029</v>
      </c>
    </row>
    <row r="9" spans="1:6" x14ac:dyDescent="0.25">
      <c r="A9" s="30">
        <v>0.178872</v>
      </c>
      <c r="B9" s="31">
        <v>32.73773617755568</v>
      </c>
      <c r="C9" s="31">
        <v>32.812443149479286</v>
      </c>
      <c r="D9" s="31">
        <v>32.88715012140289</v>
      </c>
      <c r="E9" s="31">
        <v>32.96185709332649</v>
      </c>
      <c r="F9" s="31">
        <v>33.0365640652501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34639000000</v>
      </c>
      <c r="C5" s="18">
        <v>25785000000</v>
      </c>
      <c r="D5" s="18">
        <v>22680000000</v>
      </c>
      <c r="E5" s="18">
        <v>23601000000</v>
      </c>
      <c r="F5" s="8" t="s">
        <v>84</v>
      </c>
    </row>
    <row r="6" spans="1:6" x14ac:dyDescent="0.25">
      <c r="A6" t="s">
        <v>44</v>
      </c>
      <c r="B6" s="18">
        <v>3694000000</v>
      </c>
      <c r="C6" s="18">
        <v>2086000000</v>
      </c>
      <c r="D6" s="18">
        <v>401000000</v>
      </c>
      <c r="E6" s="18">
        <v>1264000000</v>
      </c>
      <c r="F6" s="8" t="s">
        <v>85</v>
      </c>
    </row>
    <row r="7" spans="1:6" x14ac:dyDescent="0.25">
      <c r="A7" t="s">
        <v>86</v>
      </c>
      <c r="B7" s="18">
        <v>3004000000</v>
      </c>
      <c r="C7" s="18">
        <v>3064000000</v>
      </c>
      <c r="D7" s="18">
        <v>3453000000</v>
      </c>
      <c r="E7" s="18">
        <v>4262000000</v>
      </c>
      <c r="F7" s="8" t="s">
        <v>87</v>
      </c>
    </row>
    <row r="8" spans="1:6" x14ac:dyDescent="0.25">
      <c r="A8" t="s">
        <v>88</v>
      </c>
      <c r="B8" s="18">
        <v>974000000</v>
      </c>
      <c r="C8" s="18">
        <v>636000000</v>
      </c>
      <c r="D8" s="18">
        <v>546000000</v>
      </c>
      <c r="E8" s="18">
        <v>450000000</v>
      </c>
      <c r="F8" s="8" t="s">
        <v>89</v>
      </c>
    </row>
    <row r="9" spans="1:6" x14ac:dyDescent="0.25">
      <c r="A9" t="s">
        <v>90</v>
      </c>
      <c r="B9" s="18">
        <v>2378000000</v>
      </c>
      <c r="C9" s="18">
        <v>2098000000</v>
      </c>
      <c r="D9" s="18">
        <v>3049000000</v>
      </c>
      <c r="E9" s="18">
        <v>1846000000</v>
      </c>
      <c r="F9" s="8" t="s">
        <v>91</v>
      </c>
    </row>
    <row r="10" spans="1:6" x14ac:dyDescent="0.25">
      <c r="A10" t="s">
        <v>92</v>
      </c>
      <c r="B10" s="18">
        <v>3847000000</v>
      </c>
      <c r="C10" s="18">
        <v>2212000000</v>
      </c>
      <c r="D10" s="18">
        <v>3003000000</v>
      </c>
      <c r="E10" s="18">
        <v>2863000000</v>
      </c>
      <c r="F10" s="8" t="s">
        <v>93</v>
      </c>
    </row>
    <row r="11" spans="1:6" x14ac:dyDescent="0.25">
      <c r="A11" t="s">
        <v>94</v>
      </c>
      <c r="B11" s="18">
        <v>10552000000</v>
      </c>
      <c r="C11" s="18">
        <v>5132000000</v>
      </c>
      <c r="D11" s="18">
        <v>5773000000</v>
      </c>
      <c r="E11" s="18">
        <v>5855000000</v>
      </c>
      <c r="F11" s="8" t="s">
        <v>95</v>
      </c>
    </row>
    <row r="12" spans="1:6" x14ac:dyDescent="0.25">
      <c r="A12" t="s">
        <v>32</v>
      </c>
      <c r="B12" s="34">
        <v>1636000000</v>
      </c>
      <c r="C12" s="34">
        <v>1637000000</v>
      </c>
      <c r="D12" s="34">
        <v>1625000000</v>
      </c>
      <c r="E12" s="34">
        <v>1571000000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2026-09-19T00:06:18Z</dcterms:modified>
</cp:coreProperties>
</file>