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<sst xmlns="http://schemas.openxmlformats.org/spreadsheetml/2006/main" count="112" uniqueCount="100">
  <si>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AMETEK, Inc. (AME)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</si>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</sst>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0.06364055992660522</v>
      </c>
    </row>
    <row r="7" spans="1:2" x14ac:dyDescent="0.25">
      <c r="A7" t="s">
        <v>5</v>
      </c>
      <c r="B7" s="6">
        <v>0.25432722896397536</v>
      </c>
    </row>
    <row r="8" spans="1:2" x14ac:dyDescent="0.25">
      <c r="A8" t="s">
        <v>6</v>
      </c>
      <c r="B8" s="6">
        <v>0.17973644192801752</v>
      </c>
    </row>
    <row r="9" spans="1:2" x14ac:dyDescent="0.25">
      <c r="A9" t="s">
        <v>7</v>
      </c>
      <c r="B9" s="6">
        <v>0.053852494162905995</v>
      </c>
    </row>
    <row r="10" spans="1:2" x14ac:dyDescent="0.25">
      <c r="A10" t="s">
        <v>8</v>
      </c>
      <c r="B10" s="6">
        <v>0.019789914138723753</v>
      </c>
    </row>
    <row r="11" spans="1:2" x14ac:dyDescent="0.25">
      <c r="A11" t="s">
        <v>9</v>
      </c>
      <c r="B11" s="6">
        <v>-0.19368736019521832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0.12287270274509521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0.99263</v>
      </c>
      <c r="C19" s="8" t="s">
        <v>19</v>
      </c>
    </row>
    <row r="20" spans="1:2" x14ac:dyDescent="0.25">
      <c r="A20" t="s">
        <v>20</v>
      </c>
      <c r="B20" s="10">
        <f>B17+B19*B18</f>
        <v>0.10457465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54481641472</v>
      </c>
    </row>
    <row r="23" spans="1:2" x14ac:dyDescent="0.25">
      <c r="A23" t="s">
        <v>24</v>
      </c>
      <c r="B23" s="11">
        <v>2344442000</v>
      </c>
    </row>
    <row r="24" spans="1:2" x14ac:dyDescent="0.25">
      <c r="A24" t="s">
        <v>25</v>
      </c>
      <c r="B24" s="10">
        <f>B22/(B22+B23)</f>
        <v>0.9587435582965139</v>
      </c>
    </row>
    <row r="25" spans="1:2" x14ac:dyDescent="0.25">
      <c r="A25" t="s">
        <v>26</v>
      </c>
      <c r="B25" s="10">
        <f>1-B24</f>
        <v>0.04125644170348608</v>
      </c>
    </row>
    <row r="26" spans="1:2" x14ac:dyDescent="0.25">
      <c r="A26" t="s">
        <v>27</v>
      </c>
      <c r="B26" s="12">
        <f>B24*B20+B25*B21*(1-B8)</f>
        <v>0.10195165300875378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7401116000</v>
      </c>
      <c r="C29" s="8" t="s">
        <v>30</v>
      </c>
    </row>
    <row r="30" spans="1:2" x14ac:dyDescent="0.25">
      <c r="A30" t="s">
        <v>31</v>
      </c>
      <c r="B30" s="11">
        <v>1886491000</v>
      </c>
    </row>
    <row r="31" spans="1:2" x14ac:dyDescent="0.25">
      <c r="A31" t="s">
        <v>32</v>
      </c>
      <c r="B31" s="13">
        <v>231259000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0.06364055992660522</v>
      </c>
      <c r="C5" s="10">
        <f>Assumptions!B6</f>
        <v>0.06364055992660522</v>
      </c>
      <c r="D5" s="10">
        <f>Assumptions!B6</f>
        <v>0.06364055992660522</v>
      </c>
      <c r="E5" s="10">
        <f>Assumptions!B6</f>
        <v>0.06364055992660522</v>
      </c>
      <c r="F5" s="10">
        <f>Assumptions!B6</f>
        <v>0.06364055992660522</v>
      </c>
    </row>
    <row r="6" spans="1:6" x14ac:dyDescent="0.25">
      <c r="A6" t="s">
        <v>43</v>
      </c>
      <c r="B6" s="18">
        <f>Assumptions!B29*(1+B5)</f>
        <v>7872127166.321756</v>
      </c>
      <c r="C6" s="18">
        <f>B6*(1+C5)</f>
        <v>8373113746.999913</v>
      </c>
      <c r="D6" s="18">
        <f>C6*(1+D5)</f>
        <v>8905983394.188143</v>
      </c>
      <c r="E6" s="18">
        <f>D6*(1+E5)</f>
        <v>9472765164.091324</v>
      </c>
      <c r="F6" s="18">
        <f>E6*(1+F5)</f>
        <v>10075617243.187336</v>
      </c>
    </row>
    <row r="7" spans="1:6" x14ac:dyDescent="0.25">
      <c r="A7" t="s">
        <v>5</v>
      </c>
      <c r="B7" s="10">
        <f>Assumptions!B7</f>
        <v>0.25432722896397536</v>
      </c>
      <c r="C7" s="10">
        <f>Assumptions!B7</f>
        <v>0.25432722896397536</v>
      </c>
      <c r="D7" s="10">
        <f>Assumptions!B7</f>
        <v>0.25432722896397536</v>
      </c>
      <c r="E7" s="10">
        <f>Assumptions!B7</f>
        <v>0.25432722896397536</v>
      </c>
      <c r="F7" s="10">
        <f>Assumptions!B7</f>
        <v>0.25432722896397536</v>
      </c>
    </row>
    <row r="8" spans="1:6" x14ac:dyDescent="0.25">
      <c r="A8" t="s">
        <v>44</v>
      </c>
      <c r="B8" s="18">
        <f>B6*B7</f>
        <v>2002096288.2626438</v>
      </c>
      <c r="C8" s="18">
        <f>C6*C7</f>
        <v>2129510817.0746565</v>
      </c>
      <c r="D8" s="18">
        <f>D6*D7</f>
        <v>2265034077.84305</v>
      </c>
      <c r="E8" s="18">
        <f>E6*E7</f>
        <v>2409182114.8098235</v>
      </c>
      <c r="F8" s="18">
        <f>F6*F7</f>
        <v>2562503813.561484</v>
      </c>
    </row>
    <row r="9" spans="1:6" x14ac:dyDescent="0.25">
      <c r="A9" t="s">
        <v>45</v>
      </c>
      <c r="B9" s="18">
        <f>B8*(1-Assumptions!B8)</f>
        <v>1642246625.0130258</v>
      </c>
      <c r="C9" s="18">
        <f>C8*(1-Assumptions!B8)</f>
        <v>1746760119.7664323</v>
      </c>
      <c r="D9" s="18">
        <f>D8*(1-Assumptions!B8)</f>
        <v>1857924911.8458319</v>
      </c>
      <c r="E9" s="18">
        <f>E8*(1-Assumptions!B8)</f>
        <v>1976164293.5372891</v>
      </c>
      <c r="F9" s="18">
        <f>F8*(1-Assumptions!B8)</f>
        <v>2101928495.6849668</v>
      </c>
    </row>
    <row r="10" spans="1:6" x14ac:dyDescent="0.25">
      <c r="A10" t="s">
        <v>46</v>
      </c>
      <c r="B10" s="18">
        <f>B6*Assumptions!B9</f>
        <v>423933682.2739961</v>
      </c>
      <c r="C10" s="18">
        <f>C6*Assumptions!B9</f>
        <v>450913059.1856608</v>
      </c>
      <c r="D10" s="18">
        <f>D6*Assumptions!B9</f>
        <v>479609418.75045466</v>
      </c>
      <c r="E10" s="18">
        <f>E6*Assumptions!B9</f>
        <v>510132030.70580727</v>
      </c>
      <c r="F10" s="18">
        <f>F6*Assumptions!B9</f>
        <v>542597118.776421</v>
      </c>
    </row>
    <row r="11" spans="1:6" x14ac:dyDescent="0.25">
      <c r="A11" t="s">
        <v>47</v>
      </c>
      <c r="B11" s="18">
        <f>-B6*Assumptions!B10</f>
        <v>-155788720.71062228</v>
      </c>
      <c r="C11" s="18">
        <f>-C6*Assumptions!B10</f>
        <v>-165703202.12689582</v>
      </c>
      <c r="D11" s="18">
        <f>-D6*Assumptions!B10</f>
        <v>-176248646.69188288</v>
      </c>
      <c r="E11" s="18">
        <f>-E6*Assumptions!B10</f>
        <v>-187465209.25366074</v>
      </c>
      <c r="F11" s="18">
        <f>-F6*Assumptions!B10</f>
        <v>-199395600.13732192</v>
      </c>
    </row>
    <row r="12" spans="1:6" x14ac:dyDescent="0.25">
      <c r="A12" t="s">
        <v>48</v>
      </c>
      <c r="B12" s="18">
        <f>-(B6-Assumptions!B29)*Assumptions!B11</f>
        <v>91228909.42733191</v>
      </c>
      <c r="C12" s="18">
        <f>-(C6-B6)*Assumptions!B11</f>
        <v>97034768.30478096</v>
      </c>
      <c r="D12" s="18">
        <f>-(D6-C6)*Assumptions!B11</f>
        <v>103210115.29204552</v>
      </c>
      <c r="E12" s="18">
        <f>-(E6-D6)*Assumptions!B11</f>
        <v>109778464.81932078</v>
      </c>
      <c r="F12" s="18">
        <f>-(F6-E6)*Assumptions!B11</f>
        <v>116764827.78830554</v>
      </c>
    </row>
    <row r="13" spans="1:6" x14ac:dyDescent="0.25">
      <c r="A13" s="19" t="s">
        <v>49</v>
      </c>
      <c r="B13" s="20">
        <f>B9+B10+B11+B12</f>
        <v>2001620496.0037315</v>
      </c>
      <c r="C13" s="20">
        <f>C9+C10+C11+C12</f>
        <v>2129004745.1299782</v>
      </c>
      <c r="D13" s="20">
        <f>D9+D10+D11+D12</f>
        <v>2264495799.1964493</v>
      </c>
      <c r="E13" s="20">
        <f>E9+E10+E11+E12</f>
        <v>2408609579.8087564</v>
      </c>
      <c r="F13" s="20">
        <f>F9+F10+F11+F12</f>
        <v>2561894842.1123714</v>
      </c>
    </row>
    <row r="14" spans="1:6" x14ac:dyDescent="0.25">
      <c r="A14" t="s">
        <v>50</v>
      </c>
      <c r="B14" s="21">
        <f>1/(1+Assumptions!$B$26)^(1-0.5*Assumptions!$B$32)</f>
        <v>0.9526178821394186</v>
      </c>
      <c r="C14" s="21">
        <f>1/(1+Assumptions!$B$26)^(2-0.5*Assumptions!$B$32)</f>
        <v>0.8644824657582785</v>
      </c>
      <c r="D14" s="21">
        <f>1/(1+Assumptions!$B$26)^(3-0.5*Assumptions!$B$32)</f>
        <v>0.7845012650036935</v>
      </c>
      <c r="E14" s="21">
        <f>1/(1+Assumptions!$B$26)^(4-0.5*Assumptions!$B$32)</f>
        <v>0.711919858608771</v>
      </c>
      <c r="F14" s="21">
        <f>1/(1+Assumptions!$B$26)^(5-0.5*Assumptions!$B$32)</f>
        <v>0.6460536237365357</v>
      </c>
    </row>
    <row r="15" spans="1:6" x14ac:dyDescent="0.25">
      <c r="A15" s="19" t="s">
        <v>51</v>
      </c>
      <c r="B15" s="20">
        <f>B13*B14</f>
        <v>1906779477.7499273</v>
      </c>
      <c r="C15" s="20">
        <f>C13*C14</f>
        <v>1840487271.6810389</v>
      </c>
      <c r="D15" s="20">
        <f>D13*D14</f>
        <v>1776499819.0651646</v>
      </c>
      <c r="E15" s="20">
        <f>E13*E14</f>
        <v>1714736991.5011814</v>
      </c>
      <c r="F15" s="20">
        <f>F13*F14</f>
        <v>1655121446.3786376</v>
      </c>
    </row>
    <row r="17" spans="1:2" x14ac:dyDescent="0.25">
      <c r="A17" s="22" t="s">
        <v>52</v>
      </c>
      <c r="B17" s="23">
        <f>SUM(B15:F15)</f>
        <v>8893625006.37595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2561894842.1123714</v>
      </c>
    </row>
    <row r="5" spans="1:2" x14ac:dyDescent="0.25">
      <c r="A5" t="s">
        <v>56</v>
      </c>
      <c r="B5" s="18">
        <f>IF(Assumptions!$B$33=0,B4,B4-Forecast!F11-Forecast!F10-Forecast!F12)</f>
        <v>2389534905.2461786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0.20346260350326625</v>
      </c>
    </row>
    <row r="7" spans="1:2" x14ac:dyDescent="0.25">
      <c r="A7" t="s">
        <v>58</v>
      </c>
      <c r="B7" s="18">
        <f>-MAX(Forecast!F9,0)*B6</f>
        <v>-486180992.98331815</v>
      </c>
    </row>
    <row r="8" spans="1:2" x14ac:dyDescent="0.25">
      <c r="A8" t="s">
        <v>59</v>
      </c>
      <c r="B8" s="18">
        <f>IF(OR(Assumptions!$B$33=0,Assumptions!B12&lt;=0),B5,MAX(B5+B7,0))</f>
        <v>1903353912.2628605</v>
      </c>
    </row>
    <row r="9" spans="1:2" x14ac:dyDescent="0.25">
      <c r="A9" t="s">
        <v>60</v>
      </c>
      <c r="B9" s="18">
        <f>B8*(1+Assumptions!B12)/(Assumptions!B26-Assumptions!B12)</f>
        <v>25352772601.87639</v>
      </c>
    </row>
    <row r="10" spans="1:2" x14ac:dyDescent="0.25">
      <c r="A10" t="s">
        <v>61</v>
      </c>
      <c r="B10" s="18">
        <f>B9/(1+Assumptions!B26)^(5-0.5*Assumptions!B32)</f>
        <v>16379250611.2106</v>
      </c>
    </row>
    <row r="11" spans="1:2" x14ac:dyDescent="0.25">
      <c r="A11" t="s">
        <v>62</v>
      </c>
      <c r="B11" s="18">
        <f>Forecast!B17+B10</f>
        <v>25272875617.586548</v>
      </c>
    </row>
    <row r="12" spans="1:2" x14ac:dyDescent="0.25">
      <c r="A12" t="s">
        <v>63</v>
      </c>
      <c r="B12" s="18">
        <f>-Assumptions!B30</f>
        <v>-1886491000</v>
      </c>
    </row>
    <row r="13" spans="1:2" x14ac:dyDescent="0.25">
      <c r="A13" t="s">
        <v>64</v>
      </c>
      <c r="B13" s="18">
        <f>B11+B12</f>
        <v>23386384617.586548</v>
      </c>
    </row>
    <row r="14" spans="1:2" x14ac:dyDescent="0.25">
      <c r="A14" s="19" t="s">
        <v>65</v>
      </c>
      <c r="B14" s="24">
        <f>B13/Assumptions!B31</f>
        <v>101.12637613060053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3105100932.337905</v>
      </c>
    </row>
    <row r="18" spans="1:2" x14ac:dyDescent="0.25">
      <c r="A18" t="s">
        <v>60</v>
      </c>
      <c r="B18" s="18">
        <f>B17*Assumptions!B13</f>
        <v>62102018646.7581</v>
      </c>
    </row>
    <row r="19" spans="1:2" x14ac:dyDescent="0.25">
      <c r="A19" t="s">
        <v>61</v>
      </c>
      <c r="B19" s="18">
        <f>B18/(1+Assumptions!B26)^(5-0.5*Assumptions!B32)</f>
        <v>40121234188.09199</v>
      </c>
    </row>
    <row r="20" spans="1:2" x14ac:dyDescent="0.25">
      <c r="A20" t="s">
        <v>62</v>
      </c>
      <c r="B20" s="18">
        <f>Forecast!B17+B19</f>
        <v>49014859194.46794</v>
      </c>
    </row>
    <row r="21" spans="1:2" x14ac:dyDescent="0.25">
      <c r="A21" t="s">
        <v>63</v>
      </c>
      <c r="B21" s="18">
        <f>-Assumptions!B30</f>
        <v>-1886491000</v>
      </c>
    </row>
    <row r="22" spans="1:2" x14ac:dyDescent="0.25">
      <c r="A22" t="s">
        <v>64</v>
      </c>
      <c r="B22" s="18">
        <f>B20+B21</f>
        <v>47128368194.46794</v>
      </c>
    </row>
    <row r="23" spans="1:2" x14ac:dyDescent="0.25">
      <c r="A23" s="19" t="s">
        <v>65</v>
      </c>
      <c r="B23" s="25">
        <f>B22/Assumptions!B31</f>
        <v>203.79041764630972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237.64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101.12637613060053</v>
      </c>
    </row>
    <row r="29" spans="1:2" x14ac:dyDescent="0.25">
      <c r="A29" s="19" t="s">
        <v>73</v>
      </c>
      <c r="B29" s="12">
        <f>B28/B26-1</f>
        <v>-0.5744555793191359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0.081952</v>
      </c>
      <c r="B5" s="31">
        <v>128.54322299982394</v>
      </c>
      <c r="C5" s="31">
        <v>131.98686193532896</v>
      </c>
      <c r="D5" s="31">
        <v>135.98336264968526</v>
      </c>
      <c r="E5" s="31">
        <v>140.6923518499066</v>
      </c>
      <c r="F5" s="31">
        <v>146.3414519437278</v>
      </c>
    </row>
    <row r="6" spans="1:6" x14ac:dyDescent="0.25">
      <c r="A6" s="30">
        <v>0.091952</v>
      </c>
      <c r="B6" s="31">
        <v>111.70238194183402</v>
      </c>
      <c r="C6" s="31">
        <v>113.71125122610172</v>
      </c>
      <c r="D6" s="31">
        <v>115.97789499618364</v>
      </c>
      <c r="E6" s="31">
        <v>118.56472636686566</v>
      </c>
      <c r="F6" s="31">
        <v>121.55607624854599</v>
      </c>
    </row>
    <row r="7" spans="1:6" x14ac:dyDescent="0.25">
      <c r="A7" s="30">
        <v>0.101952</v>
      </c>
      <c r="B7" s="31">
        <v>98.7108111049222</v>
      </c>
      <c r="C7" s="31">
        <v>99.86126758723042</v>
      </c>
      <c r="D7" s="32">
        <v>101.12592698261737</v>
      </c>
      <c r="E7" s="31">
        <v>102.52859743673831</v>
      </c>
      <c r="F7" s="31">
        <v>104.10019909956644</v>
      </c>
    </row>
    <row r="8" spans="1:6" x14ac:dyDescent="0.25">
      <c r="A8" s="30">
        <v>0.111952</v>
      </c>
      <c r="B8" s="31">
        <v>88.37873085202537</v>
      </c>
      <c r="C8" s="31">
        <v>88.99482347616029</v>
      </c>
      <c r="D8" s="31">
        <v>89.65177448991977</v>
      </c>
      <c r="E8" s="31">
        <v>90.35706236660982</v>
      </c>
      <c r="F8" s="31">
        <v>91.12010925177512</v>
      </c>
    </row>
    <row r="9" spans="1:6" x14ac:dyDescent="0.25">
      <c r="A9" s="30">
        <v>0.121952</v>
      </c>
      <c r="B9" s="31">
        <v>79.96125690827033</v>
      </c>
      <c r="C9" s="31">
        <v>80.23551153531668</v>
      </c>
      <c r="D9" s="31">
        <v>80.51221408317296</v>
      </c>
      <c r="E9" s="31">
        <v>80.79176387770657</v>
      </c>
      <c r="F9" s="31">
        <v>81.07465209451038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7401116000</v>
      </c>
      <c r="C5" s="18">
        <v>6941180000</v>
      </c>
      <c r="D5" s="18">
        <v>6596950000</v>
      </c>
      <c r="E5" s="18">
        <v>6150530000</v>
      </c>
      <c r="F5" s="8" t="s">
        <v>84</v>
      </c>
    </row>
    <row r="6" spans="1:6" x14ac:dyDescent="0.25">
      <c r="A6" t="s">
        <v>44</v>
      </c>
      <c r="B6" s="18">
        <v>1910317000</v>
      </c>
      <c r="C6" s="18">
        <v>1779562000</v>
      </c>
      <c r="D6" s="18">
        <v>1707459000</v>
      </c>
      <c r="E6" s="18">
        <v>1500692000</v>
      </c>
      <c r="F6" s="8" t="s">
        <v>85</v>
      </c>
    </row>
    <row r="7" spans="1:6" x14ac:dyDescent="0.25">
      <c r="A7" t="s">
        <v>86</v>
      </c>
      <c r="B7" s="18">
        <v>422804000</v>
      </c>
      <c r="C7" s="18">
        <v>382927000</v>
      </c>
      <c r="D7" s="18">
        <v>337636000</v>
      </c>
      <c r="E7" s="18">
        <v>319427000</v>
      </c>
      <c r="F7" s="8" t="s">
        <v>87</v>
      </c>
    </row>
    <row r="8" spans="1:6" x14ac:dyDescent="0.25">
      <c r="A8" t="s">
        <v>88</v>
      </c>
      <c r="B8" s="18">
        <v>130248000</v>
      </c>
      <c r="C8" s="18">
        <v>127075000</v>
      </c>
      <c r="D8" s="18">
        <v>136249000</v>
      </c>
      <c r="E8" s="18">
        <v>139005000</v>
      </c>
      <c r="F8" s="8" t="s">
        <v>89</v>
      </c>
    </row>
    <row r="9" spans="1:6" x14ac:dyDescent="0.25">
      <c r="A9" t="s">
        <v>90</v>
      </c>
      <c r="B9" s="18">
        <v>60615000</v>
      </c>
      <c r="C9" s="18">
        <v>-66673000</v>
      </c>
      <c r="D9" s="18">
        <v>-142786000</v>
      </c>
      <c r="E9" s="18">
        <v>266473000</v>
      </c>
      <c r="F9" s="8" t="s">
        <v>91</v>
      </c>
    </row>
    <row r="10" spans="1:6" x14ac:dyDescent="0.25">
      <c r="A10" t="s">
        <v>92</v>
      </c>
      <c r="B10" s="18">
        <v>2344442000</v>
      </c>
      <c r="C10" s="18">
        <v>2134457000</v>
      </c>
      <c r="D10" s="18">
        <v>3374402000</v>
      </c>
      <c r="E10" s="18">
        <v>2431373000</v>
      </c>
      <c r="F10" s="8" t="s">
        <v>93</v>
      </c>
    </row>
    <row r="11" spans="1:6" x14ac:dyDescent="0.25">
      <c r="A11" t="s">
        <v>94</v>
      </c>
      <c r="B11" s="18">
        <v>457951000</v>
      </c>
      <c r="C11" s="18">
        <v>373999000</v>
      </c>
      <c r="D11" s="18">
        <v>409804000</v>
      </c>
      <c r="E11" s="18">
        <v>345386000</v>
      </c>
      <c r="F11" s="8" t="s">
        <v>95</v>
      </c>
    </row>
    <row r="12" spans="1:6" x14ac:dyDescent="0.25">
      <c r="A12" t="s">
        <v>32</v>
      </c>
      <c r="B12" s="34">
        <v>231259000</v>
      </c>
      <c r="C12" s="34">
        <v>232168000</v>
      </c>
      <c r="D12" s="34">
        <v>231509000</v>
      </c>
      <c r="E12" s="34">
        <v>231536000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