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<sst xmlns="http://schemas.openxmlformats.org/spreadsheetml/2006/main" count="120" uniqueCount="107">
  <si>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AMETEK, Inc. (AME)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</si>
  <si>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</si>
  <si>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</si>
  <si>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</si>
  <si>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</si>
  <si>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</si>
  <si>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</si>
  <si>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</si>
  <si>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</si>
  <si>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</si>
  <si>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</si>
  <si>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</si>
  <si>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</si>
  <si>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</si>
  <si>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</si>
  <si>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</si>
  <si>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</si>
  <si>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</si>
  <si>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</si>
  <si>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</si>
  <si>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</si>
  <si>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</si>
  <si>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</si>
  <si>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</si>
  <si>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23.5x interest cover. Book interest / average debt was lower, at 3.6%.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</si>
  <si>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</si>
  <si>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</si>
  <si>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</si>
  <si>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</si>
  <si>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</si>
  <si>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</si>
  <si>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</si>
  <si>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</si>
  <si>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</si>
  <si>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</si>
  <si>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</si>
  <si>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</si>
  <si>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</si>
  <si>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</si>
  <si>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</si>
  <si>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</si>
  <si>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</si>
  <si>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</si>
  <si>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</si>
  <si>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</si>
  <si>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</si>
  <si>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</si>
  <si>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</si>
  <si>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</si>
  <si>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</si>
  <si>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</si>
  <si>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</si>
  <si>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</si>
  <si>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</si>
  <si>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</si>
  <si>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</si>
  <si>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</si>
  <si>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</si>
  <si>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</si>
  <si>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</si>
  <si>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</si>
  <si>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</si>
  <si>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</si>
  <si>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</si>
  <si>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</si>
  <si>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</si>
  <si>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</si>
  <si>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</si>
  <si>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</si>
  <si>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</si>
  <si>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</si>
  <si>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</si>
  <si>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</si>
  <si>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</si>
  <si>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</si>
  <si>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</si>
  <si>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</si>
  <si>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</si>
  <si>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</si>
  <si>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</si>
  <si>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</si>
  <si>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</si>
  <si>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</si>
  <si>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</si>
  <si>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</si>
  <si>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</si>
  <si>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</si>
  <si>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</si>
  <si>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</si>
  <si>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</si>
  <si>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</si>
  <si>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</si>
  <si>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</si>
  <si>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</si>
  <si>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</si>
  <si>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</si>
  <si>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</si>
  <si>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</si>
  <si>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</si>
  <si>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</si>
  <si>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</si>
  <si>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</si>
  <si>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</si>
  <si>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</si>
  <si>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</si>
  <si>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24.6x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</si>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</sst>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0.1417230941928218</v>
      </c>
    </row>
    <row r="7" spans="1:2" x14ac:dyDescent="0.25">
      <c r="A7" t="s">
        <v>4</v>
      </c>
      <c r="B7" s="5">
        <v>0.25432722896397536</v>
      </c>
    </row>
    <row r="8" spans="1:2" x14ac:dyDescent="0.25">
      <c r="A8" t="s">
        <v>5</v>
      </c>
      <c r="B8" s="5">
        <v>0.17973644192801752</v>
      </c>
    </row>
    <row r="9" spans="1:2" x14ac:dyDescent="0.25">
      <c r="A9" t="s">
        <v>6</v>
      </c>
      <c r="B9" s="5">
        <v>0.053852494162905995</v>
      </c>
    </row>
    <row r="10" spans="1:3" x14ac:dyDescent="0.25">
      <c r="A10" t="s">
        <v>7</v>
      </c>
      <c r="B10" s="5">
        <v>0.019789914138723753</v>
      </c>
      <c r="C10" s="6" t="s">
        <v>8</v>
      </c>
    </row>
    <row r="11" spans="1:2" x14ac:dyDescent="0.25">
      <c r="A11" t="s">
        <v>9</v>
      </c>
      <c r="B11" s="5">
        <v>0.2278289580555815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0.12287270274509521</v>
      </c>
      <c r="C14" s="6" t="s">
        <v>13</v>
      </c>
    </row>
    <row r="15" spans="1:3" x14ac:dyDescent="0.25">
      <c r="A15" t="s">
        <v>14</v>
      </c>
      <c r="B15" s="5">
        <v>0.019052955869314027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0.9805699999999999</v>
      </c>
      <c r="C19" s="6" t="s">
        <v>21</v>
      </c>
    </row>
    <row r="20" spans="1:2" x14ac:dyDescent="0.25">
      <c r="A20" t="s">
        <v>22</v>
      </c>
      <c r="B20" s="9">
        <f>B17+B19*B18</f>
        <v>0.090418111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55460589568</v>
      </c>
    </row>
    <row r="23" spans="1:2" x14ac:dyDescent="0.25">
      <c r="A23" t="s">
        <v>26</v>
      </c>
      <c r="B23" s="10">
        <v>2344442000</v>
      </c>
    </row>
    <row r="24" spans="1:2" x14ac:dyDescent="0.25">
      <c r="A24" t="s">
        <v>27</v>
      </c>
      <c r="B24" s="9">
        <f>B22/(B22+B23)</f>
        <v>0.9594422503300241</v>
      </c>
    </row>
    <row r="25" spans="1:2" x14ac:dyDescent="0.25">
      <c r="A25" t="s">
        <v>28</v>
      </c>
      <c r="B25" s="9">
        <f>1-B24</f>
        <v>0.04055774966997594</v>
      </c>
    </row>
    <row r="26" spans="1:2" x14ac:dyDescent="0.25">
      <c r="A26" t="s">
        <v>29</v>
      </c>
      <c r="B26" s="11">
        <f>B24*B20+B25*B21*(1-B8)</f>
        <v>0.08851216614052623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7401116000</v>
      </c>
      <c r="C29" s="6" t="s">
        <v>32</v>
      </c>
    </row>
    <row r="30" spans="1:2" x14ac:dyDescent="0.25">
      <c r="A30" t="s">
        <v>33</v>
      </c>
      <c r="B30" s="10">
        <v>1886491000</v>
      </c>
    </row>
    <row r="31" spans="1:2" x14ac:dyDescent="0.25">
      <c r="A31" t="s">
        <v>34</v>
      </c>
      <c r="B31" s="12">
        <v>231259000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0.1417230941928218</v>
      </c>
      <c r="C5" s="5">
        <v>0.16286367202797392</v>
      </c>
      <c r="D5" s="5">
        <v>0.14563071302447717</v>
      </c>
      <c r="E5" s="5">
        <v>0.12839775402098044</v>
      </c>
      <c r="F5" s="5">
        <v>0.11116479501748369</v>
      </c>
      <c r="G5" s="5">
        <v>0.09393183601398696</v>
      </c>
      <c r="H5" s="5">
        <v>0.07669887701049022</v>
      </c>
      <c r="I5" s="5">
        <v>0.05946591800699347</v>
      </c>
      <c r="J5" s="5">
        <v>0.04223295900349673</v>
      </c>
      <c r="K5" s="5">
        <v>0.024999999999999994</v>
      </c>
    </row>
    <row r="6" spans="1:11" x14ac:dyDescent="0.25">
      <c r="A6" t="s">
        <v>50</v>
      </c>
      <c r="B6" s="18">
        <f>Assumptions!B29*(1+B5)</f>
        <v>8450025060.000001</v>
      </c>
      <c r="C6" s="18">
        <f>B6*(1+C5)</f>
        <v>9826227170.000002</v>
      </c>
      <c r="D6" s="18">
        <f>C6*(1+D5)</f>
        <v>11257227639.107592</v>
      </c>
      <c r="E6" s="18">
        <f>D6*(1+E5)</f>
        <v>12702630384.47191</v>
      </c>
      <c r="F6" s="18">
        <f>E6*(1+F5)</f>
        <v>14114715687.34459</v>
      </c>
      <c r="G6" s="18">
        <f>F6*(1+G5)</f>
        <v>15440536846.672289</v>
      </c>
      <c r="H6" s="18">
        <f>G6*(1+H5)</f>
        <v>16624808683.251148</v>
      </c>
      <c r="I6" s="18">
        <f>H6*(1+I5)</f>
        <v>17613418193.291313</v>
      </c>
      <c r="J6" s="18">
        <f>I6*(1+J5)</f>
        <v>18357284961.76003</v>
      </c>
      <c r="K6" s="18">
        <f>J6*(1+K5)</f>
        <v>18816217085.804028</v>
      </c>
    </row>
    <row r="7" spans="1:11" x14ac:dyDescent="0.25">
      <c r="A7" t="s">
        <v>4</v>
      </c>
      <c r="B7" s="9">
        <f>Assumptions!B7</f>
        <v>0.25432722896397536</v>
      </c>
      <c r="C7" s="9">
        <f>Assumptions!B7</f>
        <v>0.25432722896397536</v>
      </c>
      <c r="D7" s="9">
        <f>Assumptions!B7</f>
        <v>0.25432722896397536</v>
      </c>
      <c r="E7" s="9">
        <f>Assumptions!B7</f>
        <v>0.25432722896397536</v>
      </c>
      <c r="F7" s="9">
        <f>Assumptions!B7</f>
        <v>0.25432722896397536</v>
      </c>
      <c r="G7" s="9">
        <f>Assumptions!B7</f>
        <v>0.25432722896397536</v>
      </c>
      <c r="H7" s="9">
        <f>Assumptions!B7</f>
        <v>0.25432722896397536</v>
      </c>
      <c r="I7" s="9">
        <f>Assumptions!B7</f>
        <v>0.25432722896397536</v>
      </c>
      <c r="J7" s="9">
        <f>Assumptions!B7</f>
        <v>0.25432722896397536</v>
      </c>
      <c r="K7" s="9">
        <f>Assumptions!B7</f>
        <v>0.25432722896397536</v>
      </c>
    </row>
    <row r="8" spans="1:11" x14ac:dyDescent="0.25">
      <c r="A8" t="s">
        <v>51</v>
      </c>
      <c r="B8" s="18">
        <f>B6*B7</f>
        <v>2149071458.18595</v>
      </c>
      <c r="C8" s="18">
        <f>C6*C7</f>
        <v>2499077127.316626</v>
      </c>
      <c r="D8" s="18">
        <f>D6*D7</f>
        <v>2863019511.2709084</v>
      </c>
      <c r="E8" s="18">
        <f>E6*E7</f>
        <v>3230624786.236338</v>
      </c>
      <c r="F8" s="18">
        <f>F6*F7</f>
        <v>3589756528.3767023</v>
      </c>
      <c r="G8" s="18">
        <f>G6*G7</f>
        <v>3926948949.930321</v>
      </c>
      <c r="H8" s="18">
        <f>H6*H7</f>
        <v>4228141524.4675007</v>
      </c>
      <c r="I8" s="18">
        <f>I6*I7</f>
        <v>4479571841.683449</v>
      </c>
      <c r="J8" s="18">
        <f>J6*J7</f>
        <v>4668757415.626485</v>
      </c>
      <c r="K8" s="18">
        <f>K6*K7</f>
        <v>4785476351.017146</v>
      </c>
    </row>
    <row r="9" spans="1:11" x14ac:dyDescent="0.25">
      <c r="A9" t="s">
        <v>52</v>
      </c>
      <c r="B9" s="18">
        <f>B8*(1-Assumptions!B8)</f>
        <v>1762805000.842551</v>
      </c>
      <c r="C9" s="18">
        <f>C8*(1-Assumptions!B8)</f>
        <v>2049901896.3490446</v>
      </c>
      <c r="D9" s="18">
        <f>D8*(1-Assumptions!B8)</f>
        <v>2348430571.1445837</v>
      </c>
      <c r="E9" s="18">
        <f>E8*(1-Assumptions!B8)</f>
        <v>2649963781.9537563</v>
      </c>
      <c r="F9" s="18">
        <f>F8*(1-Assumptions!B8)</f>
        <v>2944546462.5784016</v>
      </c>
      <c r="G9" s="18">
        <f>G8*(1-Assumptions!B8)</f>
        <v>3221133118.0368805</v>
      </c>
      <c r="H9" s="18">
        <f>H8*(1-Assumptions!B8)</f>
        <v>3468190410.891608</v>
      </c>
      <c r="I9" s="18">
        <f>I8*(1-Assumptions!B8)</f>
        <v>3674429537.498329</v>
      </c>
      <c r="J9" s="18">
        <f>J8*(1-Assumptions!B8)</f>
        <v>3829611569.516734</v>
      </c>
      <c r="K9" s="18">
        <f>K8*(1-Assumptions!B8)</f>
        <v>3925351858.7546515</v>
      </c>
    </row>
    <row r="10" spans="1:11" x14ac:dyDescent="0.25">
      <c r="A10" t="s">
        <v>53</v>
      </c>
      <c r="B10" s="18">
        <f>B6*Assumptions!B9</f>
        <v>455054925.22005945</v>
      </c>
      <c r="C10" s="18">
        <f>C6*Assumptions!B9</f>
        <v>529166841.3158134</v>
      </c>
      <c r="D10" s="18">
        <f>D6*Assumptions!B9</f>
        <v>606229785.7255456</v>
      </c>
      <c r="E10" s="18">
        <f>E6*Assumptions!B9</f>
        <v>684068328.6333259</v>
      </c>
      <c r="F10" s="18">
        <f>F6*Assumptions!B9</f>
        <v>760112644.1638021</v>
      </c>
      <c r="G10" s="18">
        <f>G6*Assumptions!B9</f>
        <v>831511420.4075544</v>
      </c>
      <c r="H10" s="18">
        <f>H6*Assumptions!B9</f>
        <v>895287412.5742114</v>
      </c>
      <c r="I10" s="18">
        <f>I6*Assumptions!B9</f>
        <v>948526500.4430428</v>
      </c>
      <c r="J10" s="18">
        <f>J6*Assumptions!B9</f>
        <v>988585581.2499839</v>
      </c>
      <c r="K10" s="18">
        <f>K6*Assumptions!B9</f>
        <v>1013300220.7812334</v>
      </c>
    </row>
    <row r="11" spans="1:11" x14ac:dyDescent="0.25">
      <c r="A11" t="s">
        <v>54</v>
      </c>
      <c r="B11" s="18">
        <f>-B6*B19</f>
        <v>-167225270.40746406</v>
      </c>
      <c r="C11" s="18">
        <f>-C6*C19</f>
        <v>-246338591.90328443</v>
      </c>
      <c r="D11" s="18">
        <f>-D6*D19</f>
        <v>-341646544.9572037</v>
      </c>
      <c r="E11" s="18">
        <f>-E6*E19</f>
        <v>-452577808.6757836</v>
      </c>
      <c r="F11" s="18">
        <f>-F6*F19</f>
        <v>-577408366.8272364</v>
      </c>
      <c r="G11" s="18">
        <f>-G6*G19</f>
        <v>-713165018.9535842</v>
      </c>
      <c r="H11" s="18">
        <f>-H6*H19</f>
        <v>-855636062.753737</v>
      </c>
      <c r="I11" s="18">
        <f>-I6*I19</f>
        <v>-999508782.2003785</v>
      </c>
      <c r="J11" s="18">
        <f>-J6*J19</f>
        <v>-1138639838.8240201</v>
      </c>
      <c r="K11" s="18">
        <f>-K6*K19</f>
        <v>-1266447649.075992</v>
      </c>
    </row>
    <row r="12" spans="1:11" x14ac:dyDescent="0.25">
      <c r="A12" t="s">
        <v>55</v>
      </c>
      <c r="B12" s="18">
        <f>-(B6-Assumptions!B29)*Assumptions!B11</f>
        <v>-238971858.23485965</v>
      </c>
      <c r="C12" s="18">
        <f>-(C6-B6)*Assumptions!B11</f>
        <v>-313538692.795193</v>
      </c>
      <c r="D12" s="18">
        <f>-(D6-C6)*Assumptions!B11</f>
        <v>-326023345.8538305</v>
      </c>
      <c r="E12" s="18">
        <f>-(E6-D6)*Assumptions!B11</f>
        <v>-329304601.44702977</v>
      </c>
      <c r="F12" s="18">
        <f>-(F6-E6)*Assumptions!B11</f>
        <v>-321713923.23908263</v>
      </c>
      <c r="G12" s="18">
        <f>-(G6-F6)*Assumptions!B11</f>
        <v>-302060453.2976729</v>
      </c>
      <c r="H12" s="18">
        <f>-(H6-G6)*Assumptions!B11</f>
        <v>-269811418.5823314</v>
      </c>
      <c r="I12" s="18">
        <f>-(I6-H6)*Assumptions!B11</f>
        <v>-225233874.59628972</v>
      </c>
      <c r="J12" s="18">
        <f>-(J6-I6)*Assumptions!B11</f>
        <v>-169474390.79239997</v>
      </c>
      <c r="K12" s="18">
        <f>-(K6-J6)*Assumptions!B11</f>
        <v>-104558027.63917911</v>
      </c>
    </row>
    <row r="13" spans="1:11" x14ac:dyDescent="0.25">
      <c r="A13" s="19" t="s">
        <v>56</v>
      </c>
      <c r="B13" s="20">
        <f>B9+B10+B11+B12</f>
        <v>1811662797.420287</v>
      </c>
      <c r="C13" s="20">
        <f>C9+C10+C11+C12</f>
        <v>2019191452.9663804</v>
      </c>
      <c r="D13" s="20">
        <f>D9+D10+D11+D12</f>
        <v>2286990466.0590954</v>
      </c>
      <c r="E13" s="20">
        <f>E9+E10+E11+E12</f>
        <v>2552149700.464269</v>
      </c>
      <c r="F13" s="20">
        <f>F9+F10+F11+F12</f>
        <v>2805536816.6758847</v>
      </c>
      <c r="G13" s="20">
        <f>G9+G10+G11+G12</f>
        <v>3037419066.193178</v>
      </c>
      <c r="H13" s="20">
        <f>H9+H10+H11+H12</f>
        <v>3238030342.129751</v>
      </c>
      <c r="I13" s="20">
        <f>I9+I10+I11+I12</f>
        <v>3398213381.144704</v>
      </c>
      <c r="J13" s="20">
        <f>J9+J10+J11+J12</f>
        <v>3510082921.1502976</v>
      </c>
      <c r="K13" s="20">
        <f>K9+K10+K11+K12</f>
        <v>3567646402.8207135</v>
      </c>
    </row>
    <row r="14" spans="1:11" x14ac:dyDescent="0.25">
      <c r="A14" t="s">
        <v>57</v>
      </c>
      <c r="B14" s="21">
        <f>1/(1+Assumptions!$B$26)^(1-0.5*Assumptions!$B$32)</f>
        <v>0.9584806645589877</v>
      </c>
      <c r="C14" s="21">
        <f>1/(1+Assumptions!$B$26)^(2-0.5*Assumptions!$B$32)</f>
        <v>0.8805419860004106</v>
      </c>
      <c r="D14" s="21">
        <f>1/(1+Assumptions!$B$26)^(3-0.5*Assumptions!$B$32)</f>
        <v>0.8089408767221193</v>
      </c>
      <c r="E14" s="21">
        <f>1/(1+Assumptions!$B$26)^(4-0.5*Assumptions!$B$32)</f>
        <v>0.7431619984463139</v>
      </c>
      <c r="F14" s="21">
        <f>1/(1+Assumptions!$B$26)^(5-0.5*Assumptions!$B$32)</f>
        <v>0.6827319175322586</v>
      </c>
      <c r="G14" s="21">
        <f>1/(1+Assumptions!$B$26)^(6-0.5*Assumptions!$B$32)</f>
        <v>0.6272156975084451</v>
      </c>
      <c r="H14" s="21">
        <f>1/(1+Assumptions!$B$26)^(7-0.5*Assumptions!$B$32)</f>
        <v>0.5762137686823723</v>
      </c>
      <c r="I14" s="21">
        <f>1/(1+Assumptions!$B$26)^(8-0.5*Assumptions!$B$32)</f>
        <v>0.5293590522974306</v>
      </c>
      <c r="J14" s="21">
        <f>1/(1+Assumptions!$B$26)^(9-0.5*Assumptions!$B$32)</f>
        <v>0.48631431853843954</v>
      </c>
      <c r="K14" s="21">
        <f>1/(1+Assumptions!$B$26)^(10-0.5*Assumptions!$B$32)</f>
        <v>0.4467697593704769</v>
      </c>
    </row>
    <row r="15" spans="1:11" x14ac:dyDescent="0.25">
      <c r="A15" s="19" t="s">
        <v>58</v>
      </c>
      <c r="B15" s="20">
        <f>B13*B14</f>
        <v>1736443762.0281913</v>
      </c>
      <c r="C15" s="20">
        <f>C13*C14</f>
        <v>1777982852.1100712</v>
      </c>
      <c r="D15" s="20">
        <f>D13*D14</f>
        <v>1850040072.668973</v>
      </c>
      <c r="E15" s="20">
        <f>E13*E14</f>
        <v>1896660671.7311878</v>
      </c>
      <c r="F15" s="20">
        <f>F13*F14</f>
        <v>1915429530.5564754</v>
      </c>
      <c r="G15" s="20">
        <f>G13*G14</f>
        <v>1905116918.2278042</v>
      </c>
      <c r="H15" s="20">
        <f>H13*H14</f>
        <v>1865797666.5464551</v>
      </c>
      <c r="I15" s="20">
        <f>I13*I14</f>
        <v>1798875014.947208</v>
      </c>
      <c r="J15" s="20">
        <f>J13*J14</f>
        <v>1707003583.8126223</v>
      </c>
      <c r="K15" s="20">
        <f>K13*K14</f>
        <v>1593916524.9071577</v>
      </c>
    </row>
    <row r="17" spans="1:2" x14ac:dyDescent="0.25">
      <c r="A17" s="22" t="s">
        <v>59</v>
      </c>
      <c r="B17" s="23">
        <f>SUM(B15:K15)</f>
        <v>18047266597.536144</v>
      </c>
    </row>
    <row r="19" spans="1:11" x14ac:dyDescent="0.25">
      <c r="A19" t="s">
        <v>7</v>
      </c>
      <c r="B19" s="9">
        <f>Assumptions!$B$10+($B$20-Assumptions!$B$10)*0/9</f>
        <v>0.019789914138723753</v>
      </c>
      <c r="C19" s="9">
        <f>Assumptions!$B$10+($B$20-Assumptions!$B$10)*1/9</f>
        <v>0.02506949896857355</v>
      </c>
      <c r="D19" s="9">
        <f>Assumptions!$B$10+($B$20-Assumptions!$B$10)*2/9</f>
        <v>0.030349083798423347</v>
      </c>
      <c r="E19" s="9">
        <f>Assumptions!$B$10+($B$20-Assumptions!$B$10)*3/9</f>
        <v>0.035628668628273144</v>
      </c>
      <c r="F19" s="9">
        <f>Assumptions!$B$10+($B$20-Assumptions!$B$10)*4/9</f>
        <v>0.04090825345812294</v>
      </c>
      <c r="G19" s="9">
        <f>Assumptions!$B$10+($B$20-Assumptions!$B$10)*5/9</f>
        <v>0.04618783828797274</v>
      </c>
      <c r="H19" s="9">
        <f>Assumptions!$B$10+($B$20-Assumptions!$B$10)*6/9</f>
        <v>0.051467423117822535</v>
      </c>
      <c r="I19" s="9">
        <f>Assumptions!$B$10+($B$20-Assumptions!$B$10)*7/9</f>
        <v>0.05674700794767233</v>
      </c>
      <c r="J19" s="9">
        <f>Assumptions!$B$10+($B$20-Assumptions!$B$10)*8/9</f>
        <v>0.06202659277752213</v>
      </c>
      <c r="K19" s="9">
        <f>Assumptions!$B$10+($B$20-Assumptions!$B$10)*9/9</f>
        <v>0.06730617760737193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0.06730617760737193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3567646402.8207135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4462456882.392935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0.20346260350326625</v>
      </c>
    </row>
    <row r="7" spans="1:2" x14ac:dyDescent="0.25">
      <c r="A7" t="s">
        <v>66</v>
      </c>
      <c r="B7" s="18">
        <f>-MAX(B5,0)*B6</f>
        <v>-907943095.3127353</v>
      </c>
    </row>
    <row r="8" spans="1:2" x14ac:dyDescent="0.25">
      <c r="A8" t="s">
        <v>67</v>
      </c>
      <c r="B8" s="18">
        <f>IF(OR(Assumptions!$B$33=0,Assumptions!B12&lt;=0),B5,MAX(B5+B7,0))</f>
        <v>3554513787.0801992</v>
      </c>
    </row>
    <row r="9" spans="1:2" x14ac:dyDescent="0.25">
      <c r="A9" t="s">
        <v>68</v>
      </c>
      <c r="B9" s="18">
        <f>B8*(1+Assumptions!B12)/(Assumptions!B26-Assumptions!B12)</f>
        <v>57365019226.3308</v>
      </c>
    </row>
    <row r="10" spans="1:2" x14ac:dyDescent="0.25">
      <c r="A10" t="s">
        <v>69</v>
      </c>
      <c r="B10" s="18">
        <f>B9/(1+Assumptions!B26)^(10-0.5*Assumptions!B32)</f>
        <v>25628955836.030594</v>
      </c>
    </row>
    <row r="11" spans="1:2" x14ac:dyDescent="0.25">
      <c r="A11" t="s">
        <v>70</v>
      </c>
      <c r="B11" s="18">
        <f>Forecast!B17+B10</f>
        <v>43676222433.56674</v>
      </c>
    </row>
    <row r="12" spans="1:2" x14ac:dyDescent="0.25">
      <c r="A12" t="s">
        <v>71</v>
      </c>
      <c r="B12" s="18">
        <f>-Assumptions!B30</f>
        <v>-1886491000</v>
      </c>
    </row>
    <row r="13" spans="1:2" x14ac:dyDescent="0.25">
      <c r="A13" t="s">
        <v>72</v>
      </c>
      <c r="B13" s="18">
        <f>B11+B12</f>
        <v>41789731433.56674</v>
      </c>
    </row>
    <row r="14" spans="1:2" x14ac:dyDescent="0.25">
      <c r="A14" s="19" t="s">
        <v>73</v>
      </c>
      <c r="B14" s="24">
        <f>B13/Assumptions!B31</f>
        <v>180.70531928948384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5798776571.79838</v>
      </c>
    </row>
    <row r="18" spans="1:2" x14ac:dyDescent="0.25">
      <c r="A18" t="s">
        <v>68</v>
      </c>
      <c r="B18" s="18">
        <f>B17*Assumptions!B13</f>
        <v>115975531435.96759</v>
      </c>
    </row>
    <row r="19" spans="1:2" x14ac:dyDescent="0.25">
      <c r="A19" t="s">
        <v>69</v>
      </c>
      <c r="B19" s="18">
        <f>B18/(1+Assumptions!B26)^(10-0.5*Assumptions!B32)</f>
        <v>51814360272.51042</v>
      </c>
    </row>
    <row r="20" spans="1:2" x14ac:dyDescent="0.25">
      <c r="A20" t="s">
        <v>70</v>
      </c>
      <c r="B20" s="18">
        <f>Forecast!B17+B19</f>
        <v>69861626870.04657</v>
      </c>
    </row>
    <row r="21" spans="1:2" x14ac:dyDescent="0.25">
      <c r="A21" t="s">
        <v>71</v>
      </c>
      <c r="B21" s="18">
        <f>-Assumptions!B30</f>
        <v>-1886491000</v>
      </c>
    </row>
    <row r="22" spans="1:2" x14ac:dyDescent="0.25">
      <c r="A22" t="s">
        <v>72</v>
      </c>
      <c r="B22" s="18">
        <f>B20+B21</f>
        <v>67975135870.04657</v>
      </c>
    </row>
    <row r="23" spans="1:2" x14ac:dyDescent="0.25">
      <c r="A23" s="19" t="s">
        <v>73</v>
      </c>
      <c r="B23" s="25">
        <f>B22/Assumptions!B31</f>
        <v>293.93509385600805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241.91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180.70531928948384</v>
      </c>
    </row>
    <row r="29" spans="1:2" x14ac:dyDescent="0.25">
      <c r="A29" s="19" t="s">
        <v>81</v>
      </c>
      <c r="B29" s="11">
        <f>B28/B26-1</f>
        <v>-0.25300599690180714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0.068512</v>
      </c>
      <c r="B5" s="31">
        <v>253.03555974506523</v>
      </c>
      <c r="C5" s="31">
        <v>260.64827939542255</v>
      </c>
      <c r="D5" s="31">
        <v>270.4124958407562</v>
      </c>
      <c r="E5" s="31">
        <v>283.1661933956864</v>
      </c>
      <c r="F5" s="31">
        <v>300.2474663740095</v>
      </c>
    </row>
    <row r="6" spans="1:6" x14ac:dyDescent="0.25">
      <c r="A6" s="30">
        <v>0.078512</v>
      </c>
      <c r="B6" s="31">
        <v>209.6572280210738</v>
      </c>
      <c r="C6" s="31">
        <v>212.93682025664677</v>
      </c>
      <c r="D6" s="31">
        <v>217.13776143411198</v>
      </c>
      <c r="E6" s="31">
        <v>222.54493434800244</v>
      </c>
      <c r="F6" s="31">
        <v>229.57416626542556</v>
      </c>
    </row>
    <row r="7" spans="1:6" x14ac:dyDescent="0.25">
      <c r="A7" s="30">
        <v>0.088512</v>
      </c>
      <c r="B7" s="31">
        <v>178.20404294775895</v>
      </c>
      <c r="C7" s="31">
        <v>179.24983900097274</v>
      </c>
      <c r="D7" s="32">
        <v>180.70582873637574</v>
      </c>
      <c r="E7" s="31">
        <v>182.67716845067352</v>
      </c>
      <c r="F7" s="31">
        <v>185.30831639030467</v>
      </c>
    </row>
    <row r="8" spans="1:6" x14ac:dyDescent="0.25">
      <c r="A8" s="30">
        <v>0.098512</v>
      </c>
      <c r="B8" s="31">
        <v>154.3849290262756</v>
      </c>
      <c r="C8" s="31">
        <v>154.2231862666016</v>
      </c>
      <c r="D8" s="31">
        <v>154.24000827947197</v>
      </c>
      <c r="E8" s="31">
        <v>154.47448999115042</v>
      </c>
      <c r="F8" s="31">
        <v>154.97803736400806</v>
      </c>
    </row>
    <row r="9" spans="1:6" x14ac:dyDescent="0.25">
      <c r="A9" s="30">
        <v>0.108512</v>
      </c>
      <c r="B9" s="31">
        <v>135.74482772019127</v>
      </c>
      <c r="C9" s="31">
        <v>134.91720204648362</v>
      </c>
      <c r="D9" s="31">
        <v>134.15753645580423</v>
      </c>
      <c r="E9" s="31">
        <v>133.4788149664615</v>
      </c>
      <c r="F9" s="31">
        <v>132.89755408623702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7401116000</v>
      </c>
      <c r="C5" s="18">
        <v>6941180000</v>
      </c>
      <c r="D5" s="18">
        <v>6596950000</v>
      </c>
      <c r="E5" s="18">
        <v>6150530000</v>
      </c>
      <c r="F5" s="6" t="s">
        <v>91</v>
      </c>
    </row>
    <row r="6" spans="1:6" x14ac:dyDescent="0.25">
      <c r="A6" t="s">
        <v>51</v>
      </c>
      <c r="B6" s="18">
        <v>1910317000</v>
      </c>
      <c r="C6" s="18">
        <v>1779562000</v>
      </c>
      <c r="D6" s="18">
        <v>1707459000</v>
      </c>
      <c r="E6" s="18">
        <v>1500692000</v>
      </c>
      <c r="F6" s="6" t="s">
        <v>92</v>
      </c>
    </row>
    <row r="7" spans="1:6" x14ac:dyDescent="0.25">
      <c r="A7" t="s">
        <v>93</v>
      </c>
      <c r="B7" s="18">
        <v>422804000</v>
      </c>
      <c r="C7" s="18">
        <v>382927000</v>
      </c>
      <c r="D7" s="18">
        <v>337636000</v>
      </c>
      <c r="E7" s="18">
        <v>319427000</v>
      </c>
      <c r="F7" s="6" t="s">
        <v>94</v>
      </c>
    </row>
    <row r="8" spans="1:6" x14ac:dyDescent="0.25">
      <c r="A8" t="s">
        <v>95</v>
      </c>
      <c r="B8" s="18">
        <v>130248000</v>
      </c>
      <c r="C8" s="18">
        <v>127075000</v>
      </c>
      <c r="D8" s="18">
        <v>136249000</v>
      </c>
      <c r="E8" s="18">
        <v>139005000</v>
      </c>
      <c r="F8" s="6" t="s">
        <v>96</v>
      </c>
    </row>
    <row r="9" spans="1:6" x14ac:dyDescent="0.25">
      <c r="A9" t="s">
        <v>97</v>
      </c>
      <c r="B9" s="18">
        <v>60615000</v>
      </c>
      <c r="C9" s="18">
        <v>-66673000</v>
      </c>
      <c r="D9" s="18">
        <v>-142786000</v>
      </c>
      <c r="E9" s="18">
        <v>266473000</v>
      </c>
      <c r="F9" s="6" t="s">
        <v>98</v>
      </c>
    </row>
    <row r="10" spans="1:6" x14ac:dyDescent="0.25">
      <c r="A10" t="s">
        <v>99</v>
      </c>
      <c r="B10" s="18">
        <v>2344442000</v>
      </c>
      <c r="C10" s="18">
        <v>2134457000</v>
      </c>
      <c r="D10" s="18">
        <v>3374402000</v>
      </c>
      <c r="E10" s="18">
        <v>2431373000</v>
      </c>
      <c r="F10" s="6" t="s">
        <v>100</v>
      </c>
    </row>
    <row r="11" spans="1:6" x14ac:dyDescent="0.25">
      <c r="A11" t="s">
        <v>101</v>
      </c>
      <c r="B11" s="18">
        <v>457951000</v>
      </c>
      <c r="C11" s="18">
        <v>373999000</v>
      </c>
      <c r="D11" s="18">
        <v>409804000</v>
      </c>
      <c r="E11" s="18">
        <v>345386000</v>
      </c>
      <c r="F11" s="6" t="s">
        <v>102</v>
      </c>
    </row>
    <row r="12" spans="1:6" x14ac:dyDescent="0.25">
      <c r="A12" t="s">
        <v>34</v>
      </c>
      <c r="B12" s="34">
        <v>231259000</v>
      </c>
      <c r="C12" s="34">
        <v>232168000</v>
      </c>
      <c r="D12" s="34">
        <v>231509000</v>
      </c>
      <c r="E12" s="34">
        <v>231536000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