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<sst xmlns="http://schemas.openxmlformats.org/spreadsheetml/2006/main" count="112" uniqueCount="100">
  <si>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Amgen Inc. (AMGN)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</si>
  <si>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</si>
  <si>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</si>
  <si>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</si>
  <si>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</si>
  <si>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</si>
  <si>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</si>
  <si>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</si>
  <si>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</si>
  <si>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</si>
  <si>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</si>
  <si>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</si>
  <si>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</si>
  <si>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</si>
  <si>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</si>
  <si>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</si>
  <si>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</si>
  <si>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</si>
  <si>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</si>
  <si>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</si>
  <si>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</si>
  <si>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</si>
  <si>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</si>
  <si>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</si>
  <si>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</si>
  <si>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</si>
  <si>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</si>
  <si>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</si>
  <si>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</si>
  <si>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</si>
  <si>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</si>
  <si>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</si>
  <si>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</si>
  <si>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</si>
  <si>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</si>
  <si>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</si>
  <si>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</si>
  <si>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</si>
  <si>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</si>
  <si>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</si>
  <si>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</si>
  <si>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</si>
  <si>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</si>
  <si>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</si>
  <si>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</si>
  <si>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</si>
  <si>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</si>
  <si>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</si>
  <si>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</si>
  <si>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</si>
  <si>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</si>
  <si>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</si>
  <si>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</si>
  <si>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</si>
  <si>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</si>
  <si>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</si>
  <si>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</si>
  <si>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</si>
  <si>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</si>
  <si>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</si>
  <si>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</si>
  <si>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</si>
  <si>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</si>
  <si>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</si>
  <si>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</si>
  <si>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</si>
  <si>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</si>
  <si>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</si>
  <si>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</si>
  <si>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</si>
  <si>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</si>
  <si>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</si>
  <si>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</si>
  <si>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</si>
  <si>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</si>
  <si>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</si>
  <si>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</si>
  <si>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</si>
  <si>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</si>
  <si>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</si>
  <si>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</si>
  <si>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</si>
  <si>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</si>
  <si>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</si>
  <si>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</si>
  <si>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</si>
  <si>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</si>
  <si>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</si>
  <si>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</si>
  <si>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</si>
  <si>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</si>
  <si>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</si>
  <si>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</si>
  <si>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</si>
  <si>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</si>
  <si>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</si>
  <si>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</si>
  <si>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</si>
  <si>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3.96% of revenue against depreciation of 14.55%. A business cannot depreciate more than it invests indefinitely. Capex has been set to 14.55%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</si>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</sst>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0.11766399097603264</v>
      </c>
    </row>
    <row r="7" spans="1:2" x14ac:dyDescent="0.25">
      <c r="A7" t="s">
        <v>5</v>
      </c>
      <c r="B7" s="6">
        <v>0.2769401716034082</v>
      </c>
    </row>
    <row r="8" spans="1:2" x14ac:dyDescent="0.25">
      <c r="A8" t="s">
        <v>6</v>
      </c>
      <c r="B8" s="6">
        <v>0.12676857193300406</v>
      </c>
    </row>
    <row r="9" spans="1:2" x14ac:dyDescent="0.25">
      <c r="A9" t="s">
        <v>7</v>
      </c>
      <c r="B9" s="6">
        <v>0.14553077216432198</v>
      </c>
    </row>
    <row r="10" spans="1:2" x14ac:dyDescent="0.25">
      <c r="A10" t="s">
        <v>8</v>
      </c>
      <c r="B10" s="6">
        <v>0.14553077216432198</v>
      </c>
    </row>
    <row r="11" spans="1:2" x14ac:dyDescent="0.25">
      <c r="A11" t="s">
        <v>9</v>
      </c>
      <c r="B11" s="6">
        <v>0.2592394215318693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17.826189588825716</v>
      </c>
    </row>
    <row r="14" spans="1:3" x14ac:dyDescent="0.25">
      <c r="A14" t="s">
        <v>12</v>
      </c>
      <c r="B14" s="6">
        <v>0.11133647463548867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0.61542</v>
      </c>
      <c r="C19" s="8" t="s">
        <v>19</v>
      </c>
    </row>
    <row r="20" spans="1:2" x14ac:dyDescent="0.25">
      <c r="A20" t="s">
        <v>20</v>
      </c>
      <c r="B20" s="10">
        <f>B17+B19*B18</f>
        <v>0.0838281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208494723072</v>
      </c>
    </row>
    <row r="23" spans="1:2" x14ac:dyDescent="0.25">
      <c r="A23" t="s">
        <v>24</v>
      </c>
      <c r="B23" s="11">
        <v>54604000000</v>
      </c>
    </row>
    <row r="24" spans="1:2" x14ac:dyDescent="0.25">
      <c r="A24" t="s">
        <v>25</v>
      </c>
      <c r="B24" s="10">
        <f>B22/(B22+B23)</f>
        <v>0.7924581337285435</v>
      </c>
    </row>
    <row r="25" spans="1:2" x14ac:dyDescent="0.25">
      <c r="A25" t="s">
        <v>26</v>
      </c>
      <c r="B25" s="10">
        <f>1-B24</f>
        <v>0.20754186627145654</v>
      </c>
    </row>
    <row r="26" spans="1:2" x14ac:dyDescent="0.25">
      <c r="A26" t="s">
        <v>27</v>
      </c>
      <c r="B26" s="12">
        <f>B24*B20+B25*B21*(1-B8)</f>
        <v>0.07548823905180004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36751000000</v>
      </c>
      <c r="C29" s="8" t="s">
        <v>30</v>
      </c>
    </row>
    <row r="30" spans="1:2" x14ac:dyDescent="0.25">
      <c r="A30" t="s">
        <v>31</v>
      </c>
      <c r="B30" s="11">
        <v>45475000000</v>
      </c>
    </row>
    <row r="31" spans="1:2" x14ac:dyDescent="0.25">
      <c r="A31" t="s">
        <v>32</v>
      </c>
      <c r="B31" s="13">
        <v>542000000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0.11766399097603264</v>
      </c>
      <c r="C5" s="10">
        <f>Assumptions!B6</f>
        <v>0.11766399097603264</v>
      </c>
      <c r="D5" s="10">
        <f>Assumptions!B6</f>
        <v>0.11766399097603264</v>
      </c>
      <c r="E5" s="10">
        <f>Assumptions!B6</f>
        <v>0.11766399097603264</v>
      </c>
      <c r="F5" s="10">
        <f>Assumptions!B6</f>
        <v>0.11766399097603264</v>
      </c>
    </row>
    <row r="6" spans="1:6" x14ac:dyDescent="0.25">
      <c r="A6" t="s">
        <v>43</v>
      </c>
      <c r="B6" s="18">
        <f>Assumptions!B29*(1+B5)</f>
        <v>41075269332.360176</v>
      </c>
      <c r="C6" s="18">
        <f>B6*(1+C5)</f>
        <v>45908349452.42111</v>
      </c>
      <c r="D6" s="18">
        <f>C6*(1+D5)</f>
        <v>51310109068.11534</v>
      </c>
      <c r="E6" s="18">
        <f>D6*(1+E5)</f>
        <v>57347461278.48531</v>
      </c>
      <c r="F6" s="18">
        <f>E6*(1+F5)</f>
        <v>64095192444.85539</v>
      </c>
    </row>
    <row r="7" spans="1:6" x14ac:dyDescent="0.25">
      <c r="A7" t="s">
        <v>5</v>
      </c>
      <c r="B7" s="10">
        <f>Assumptions!B7</f>
        <v>0.2769401716034082</v>
      </c>
      <c r="C7" s="10">
        <f>Assumptions!B7</f>
        <v>0.2769401716034082</v>
      </c>
      <c r="D7" s="10">
        <f>Assumptions!B7</f>
        <v>0.2769401716034082</v>
      </c>
      <c r="E7" s="10">
        <f>Assumptions!B7</f>
        <v>0.2769401716034082</v>
      </c>
      <c r="F7" s="10">
        <f>Assumptions!B7</f>
        <v>0.2769401716034082</v>
      </c>
    </row>
    <row r="8" spans="1:6" x14ac:dyDescent="0.25">
      <c r="A8" t="s">
        <v>44</v>
      </c>
      <c r="B8" s="18">
        <f>B6*B7</f>
        <v>11375392137.560038</v>
      </c>
      <c r="C8" s="18">
        <f>C6*C7</f>
        <v>12713866175.382734</v>
      </c>
      <c r="D8" s="18">
        <f>D6*D7</f>
        <v>14209830410.313456</v>
      </c>
      <c r="E8" s="18">
        <f>E6*E7</f>
        <v>15881815767.483532</v>
      </c>
      <c r="F8" s="18">
        <f>F6*F7</f>
        <v>17750533594.631725</v>
      </c>
    </row>
    <row r="9" spans="1:6" x14ac:dyDescent="0.25">
      <c r="A9" t="s">
        <v>45</v>
      </c>
      <c r="B9" s="18">
        <f>B8*(1-Assumptions!B8)</f>
        <v>9933349921.10363</v>
      </c>
      <c r="C9" s="18">
        <f>C8*(1-Assumptions!B8)</f>
        <v>11102147516.582142</v>
      </c>
      <c r="D9" s="18">
        <f>D8*(1-Assumptions!B8)</f>
        <v>12408470501.787846</v>
      </c>
      <c r="E9" s="18">
        <f>E8*(1-Assumptions!B8)</f>
        <v>13868500662.936577</v>
      </c>
      <c r="F9" s="18">
        <f>F8*(1-Assumptions!B8)</f>
        <v>15500323799.791449</v>
      </c>
    </row>
    <row r="10" spans="1:6" x14ac:dyDescent="0.25">
      <c r="A10" t="s">
        <v>46</v>
      </c>
      <c r="B10" s="18">
        <f>B6*Assumptions!B9</f>
        <v>5977715662.795871</v>
      </c>
      <c r="C10" s="18">
        <f>C6*Assumptions!B9</f>
        <v>6681077544.600372</v>
      </c>
      <c r="D10" s="18">
        <f>D6*Assumptions!B9</f>
        <v>7467199792.518405</v>
      </c>
      <c r="E10" s="18">
        <f>E6*Assumptions!B9</f>
        <v>8345820321.5215225</v>
      </c>
      <c r="F10" s="18">
        <f>F6*Assumptions!B9</f>
        <v>9327822848.520622</v>
      </c>
    </row>
    <row r="11" spans="1:6" x14ac:dyDescent="0.25">
      <c r="A11" t="s">
        <v>47</v>
      </c>
      <c r="B11" s="18">
        <f>-B6*Assumptions!B10</f>
        <v>-5977715662.795871</v>
      </c>
      <c r="C11" s="18">
        <f>-C6*Assumptions!B10</f>
        <v>-6681077544.600372</v>
      </c>
      <c r="D11" s="18">
        <f>-D6*Assumptions!B10</f>
        <v>-7467199792.518405</v>
      </c>
      <c r="E11" s="18">
        <f>-E6*Assumptions!B10</f>
        <v>-8345820321.5215225</v>
      </c>
      <c r="F11" s="18">
        <f>-F6*Assumptions!B10</f>
        <v>-9327822848.520622</v>
      </c>
    </row>
    <row r="12" spans="1:6" x14ac:dyDescent="0.25">
      <c r="A12" t="s">
        <v>48</v>
      </c>
      <c r="B12" s="18">
        <f>-(B6-Assumptions!B29)*Assumptions!B11</f>
        <v>-1121021080.2690547</v>
      </c>
      <c r="C12" s="18">
        <f>-(C6-B6)*Assumptions!B11</f>
        <v>-1252924894.5417745</v>
      </c>
      <c r="D12" s="18">
        <f>-(D6-C6)*Assumptions!B11</f>
        <v>-1400349038.0267847</v>
      </c>
      <c r="E12" s="18">
        <f>-(E6-D6)*Assumptions!B11</f>
        <v>-1565119694.600464</v>
      </c>
      <c r="F12" s="18">
        <f>-(F6-E6)*Assumptions!B11</f>
        <v>-1749277924.2223449</v>
      </c>
    </row>
    <row r="13" spans="1:6" x14ac:dyDescent="0.25">
      <c r="A13" s="19" t="s">
        <v>49</v>
      </c>
      <c r="B13" s="20">
        <f>B9+B10+B11+B12</f>
        <v>8812328840.834576</v>
      </c>
      <c r="C13" s="20">
        <f>C9+C10+C11+C12</f>
        <v>9849222622.040367</v>
      </c>
      <c r="D13" s="20">
        <f>D9+D10+D11+D12</f>
        <v>11008121463.76106</v>
      </c>
      <c r="E13" s="20">
        <f>E9+E10+E11+E12</f>
        <v>12303380968.336113</v>
      </c>
      <c r="F13" s="20">
        <f>F9+F10+F11+F12</f>
        <v>13751045875.569105</v>
      </c>
    </row>
    <row r="14" spans="1:6" x14ac:dyDescent="0.25">
      <c r="A14" t="s">
        <v>50</v>
      </c>
      <c r="B14" s="21">
        <f>1/(1+Assumptions!$B$26)^(1-0.5*Assumptions!$B$32)</f>
        <v>0.9642666958693152</v>
      </c>
      <c r="C14" s="21">
        <f>1/(1+Assumptions!$B$26)^(2-0.5*Assumptions!$B$32)</f>
        <v>0.8965850679310609</v>
      </c>
      <c r="D14" s="21">
        <f>1/(1+Assumptions!$B$26)^(3-0.5*Assumptions!$B$32)</f>
        <v>0.8336539958089467</v>
      </c>
      <c r="E14" s="21">
        <f>1/(1+Assumptions!$B$26)^(4-0.5*Assumptions!$B$32)</f>
        <v>0.7751400392290059</v>
      </c>
      <c r="F14" s="21">
        <f>1/(1+Assumptions!$B$26)^(5-0.5*Assumptions!$B$32)</f>
        <v>0.7207331620031521</v>
      </c>
    </row>
    <row r="15" spans="1:6" x14ac:dyDescent="0.25">
      <c r="A15" s="19" t="s">
        <v>51</v>
      </c>
      <c r="B15" s="20">
        <f>B13*B14</f>
        <v>8497435214.2654295</v>
      </c>
      <c r="C15" s="20">
        <f>C13*C14</f>
        <v>8830665933.650204</v>
      </c>
      <c r="D15" s="20">
        <f>D13*D14</f>
        <v>9176964444.61464</v>
      </c>
      <c r="E15" s="20">
        <f>E13*E14</f>
        <v>9536843206.44546</v>
      </c>
      <c r="F15" s="20">
        <f>F13*F14</f>
        <v>9910834774.749325</v>
      </c>
    </row>
    <row r="17" spans="1:2" x14ac:dyDescent="0.25">
      <c r="A17" s="22" t="s">
        <v>52</v>
      </c>
      <c r="B17" s="23">
        <f>SUM(B15:F15)</f>
        <v>45952743573.72505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13751045875.569105</v>
      </c>
    </row>
    <row r="5" spans="1:2" x14ac:dyDescent="0.25">
      <c r="A5" t="s">
        <v>56</v>
      </c>
      <c r="B5" s="18">
        <f>IF(Assumptions!$B$33=0,B4,B4-Forecast!F11-Forecast!F10-Forecast!F12)</f>
        <v>15500323799.791449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0.22454456261390562</v>
      </c>
    </row>
    <row r="7" spans="1:2" x14ac:dyDescent="0.25">
      <c r="A7" t="s">
        <v>58</v>
      </c>
      <c r="B7" s="18">
        <f>-MAX(Forecast!F9,0)*B6</f>
        <v>-3480513427.9980826</v>
      </c>
    </row>
    <row r="8" spans="1:2" x14ac:dyDescent="0.25">
      <c r="A8" t="s">
        <v>59</v>
      </c>
      <c r="B8" s="18">
        <f>IF(OR(Assumptions!$B$33=0,Assumptions!B12&lt;=0),B5,MAX(B5+B7,0))</f>
        <v>12019810371.793365</v>
      </c>
    </row>
    <row r="9" spans="1:2" x14ac:dyDescent="0.25">
      <c r="A9" t="s">
        <v>60</v>
      </c>
      <c r="B9" s="18">
        <f>B8*(1+Assumptions!B12)/(Assumptions!B26-Assumptions!B12)</f>
        <v>244023278737.20816</v>
      </c>
    </row>
    <row r="10" spans="1:2" x14ac:dyDescent="0.25">
      <c r="A10" t="s">
        <v>61</v>
      </c>
      <c r="B10" s="18">
        <f>B9/(1+Assumptions!B26)^(5-0.5*Assumptions!B32)</f>
        <v>175875669286.6446</v>
      </c>
    </row>
    <row r="11" spans="1:2" x14ac:dyDescent="0.25">
      <c r="A11" t="s">
        <v>62</v>
      </c>
      <c r="B11" s="18">
        <f>Forecast!B17+B10</f>
        <v>221828412860.36963</v>
      </c>
    </row>
    <row r="12" spans="1:2" x14ac:dyDescent="0.25">
      <c r="A12" t="s">
        <v>63</v>
      </c>
      <c r="B12" s="18">
        <f>-Assumptions!B30</f>
        <v>-45475000000</v>
      </c>
    </row>
    <row r="13" spans="1:2" x14ac:dyDescent="0.25">
      <c r="A13" t="s">
        <v>64</v>
      </c>
      <c r="B13" s="18">
        <f>B11+B12</f>
        <v>176353412860.36963</v>
      </c>
    </row>
    <row r="14" spans="1:2" x14ac:dyDescent="0.25">
      <c r="A14" s="19" t="s">
        <v>65</v>
      </c>
      <c r="B14" s="24">
        <f>B13/Assumptions!B31</f>
        <v>325.3753004803868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27078356443.152348</v>
      </c>
    </row>
    <row r="18" spans="1:2" x14ac:dyDescent="0.25">
      <c r="A18" t="s">
        <v>60</v>
      </c>
      <c r="B18" s="18">
        <f>B17*Assumptions!B13</f>
        <v>482703915709.43414</v>
      </c>
    </row>
    <row r="19" spans="1:2" x14ac:dyDescent="0.25">
      <c r="A19" t="s">
        <v>61</v>
      </c>
      <c r="B19" s="18">
        <f>B18/(1+Assumptions!B26)^(5-0.5*Assumptions!B32)</f>
        <v>347900719480.5635</v>
      </c>
    </row>
    <row r="20" spans="1:2" x14ac:dyDescent="0.25">
      <c r="A20" t="s">
        <v>62</v>
      </c>
      <c r="B20" s="18">
        <f>Forecast!B17+B19</f>
        <v>393853463054.2885</v>
      </c>
    </row>
    <row r="21" spans="1:2" x14ac:dyDescent="0.25">
      <c r="A21" t="s">
        <v>63</v>
      </c>
      <c r="B21" s="18">
        <f>-Assumptions!B30</f>
        <v>-45475000000</v>
      </c>
    </row>
    <row r="22" spans="1:2" x14ac:dyDescent="0.25">
      <c r="A22" t="s">
        <v>64</v>
      </c>
      <c r="B22" s="18">
        <f>B20+B21</f>
        <v>348378463054.2885</v>
      </c>
    </row>
    <row r="23" spans="1:2" x14ac:dyDescent="0.25">
      <c r="A23" s="19" t="s">
        <v>65</v>
      </c>
      <c r="B23" s="25">
        <f>B22/Assumptions!B31</f>
        <v>642.7646919820821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385.65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325.3753004803868</v>
      </c>
    </row>
    <row r="29" spans="1:2" x14ac:dyDescent="0.25">
      <c r="A29" s="19" t="s">
        <v>73</v>
      </c>
      <c r="B29" s="12">
        <f>B28/B26-1</f>
        <v>-0.15629378846003683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0.055488</v>
      </c>
      <c r="B5" s="31">
        <v>491.62789738320146</v>
      </c>
      <c r="C5" s="31">
        <v>533.9580541944359</v>
      </c>
      <c r="D5" s="31">
        <v>589.8420400563851</v>
      </c>
      <c r="E5" s="31">
        <v>667.2564492785563</v>
      </c>
      <c r="F5" s="31">
        <v>781.9644774097253</v>
      </c>
    </row>
    <row r="6" spans="1:6" x14ac:dyDescent="0.25">
      <c r="A6" s="30">
        <v>0.065488</v>
      </c>
      <c r="B6" s="31">
        <v>376.896634203487</v>
      </c>
      <c r="C6" s="31">
        <v>398.3969936629762</v>
      </c>
      <c r="D6" s="31">
        <v>424.96921724787234</v>
      </c>
      <c r="E6" s="31">
        <v>458.7570707911645</v>
      </c>
      <c r="F6" s="31">
        <v>503.31062151195266</v>
      </c>
    </row>
    <row r="7" spans="1:6" x14ac:dyDescent="0.25">
      <c r="A7" s="30">
        <v>0.075488</v>
      </c>
      <c r="B7" s="31">
        <v>300.15379654122216</v>
      </c>
      <c r="C7" s="31">
        <v>311.71247811501087</v>
      </c>
      <c r="D7" s="32">
        <v>325.3772100328305</v>
      </c>
      <c r="E7" s="31">
        <v>341.84247776690404</v>
      </c>
      <c r="F7" s="31">
        <v>362.1458242248533</v>
      </c>
    </row>
    <row r="8" spans="1:6" x14ac:dyDescent="0.25">
      <c r="A8" s="30">
        <v>0.085488</v>
      </c>
      <c r="B8" s="31">
        <v>245.22935558719502</v>
      </c>
      <c r="C8" s="31">
        <v>251.51415093732123</v>
      </c>
      <c r="D8" s="31">
        <v>258.69117297291166</v>
      </c>
      <c r="E8" s="31">
        <v>267.001616191551</v>
      </c>
      <c r="F8" s="31">
        <v>276.7822203679524</v>
      </c>
    </row>
    <row r="9" spans="1:6" x14ac:dyDescent="0.25">
      <c r="A9" s="30">
        <v>0.095488</v>
      </c>
      <c r="B9" s="31">
        <v>203.98936425395073</v>
      </c>
      <c r="C9" s="31">
        <v>207.2759540158899</v>
      </c>
      <c r="D9" s="31">
        <v>210.90793441627733</v>
      </c>
      <c r="E9" s="31">
        <v>214.9644170416133</v>
      </c>
      <c r="F9" s="31">
        <v>219.5506712572962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36751000000</v>
      </c>
      <c r="C5" s="18">
        <v>33424000000</v>
      </c>
      <c r="D5" s="18">
        <v>28190000000</v>
      </c>
      <c r="E5" s="18">
        <v>26323000000</v>
      </c>
      <c r="F5" s="8" t="s">
        <v>84</v>
      </c>
    </row>
    <row r="6" spans="1:6" x14ac:dyDescent="0.25">
      <c r="A6" t="s">
        <v>44</v>
      </c>
      <c r="B6" s="18">
        <v>9080000000</v>
      </c>
      <c r="C6" s="18">
        <v>7258000000</v>
      </c>
      <c r="D6" s="18">
        <v>7897000000</v>
      </c>
      <c r="E6" s="18">
        <v>9566000000</v>
      </c>
      <c r="F6" s="8" t="s">
        <v>85</v>
      </c>
    </row>
    <row r="7" spans="1:6" x14ac:dyDescent="0.25">
      <c r="A7" t="s">
        <v>86</v>
      </c>
      <c r="B7" s="18">
        <v>5167000000</v>
      </c>
      <c r="C7" s="18">
        <v>5592000000</v>
      </c>
      <c r="D7" s="18">
        <v>4071000000</v>
      </c>
      <c r="E7" s="18">
        <v>3417000000</v>
      </c>
      <c r="F7" s="8" t="s">
        <v>87</v>
      </c>
    </row>
    <row r="8" spans="1:6" x14ac:dyDescent="0.25">
      <c r="A8" t="s">
        <v>88</v>
      </c>
      <c r="B8" s="18">
        <v>1858000000</v>
      </c>
      <c r="C8" s="18">
        <v>1096000000</v>
      </c>
      <c r="D8" s="18">
        <v>1112000000</v>
      </c>
      <c r="E8" s="18">
        <v>936000000</v>
      </c>
      <c r="F8" s="8" t="s">
        <v>89</v>
      </c>
    </row>
    <row r="9" spans="1:6" x14ac:dyDescent="0.25">
      <c r="A9" t="s">
        <v>90</v>
      </c>
      <c r="B9" s="18">
        <v>1978000000</v>
      </c>
      <c r="C9" s="18">
        <v>-2365000000</v>
      </c>
      <c r="D9" s="18">
        <v>484000000</v>
      </c>
      <c r="E9" s="18">
        <v>733000000</v>
      </c>
      <c r="F9" s="8" t="s">
        <v>91</v>
      </c>
    </row>
    <row r="10" spans="1:6" x14ac:dyDescent="0.25">
      <c r="A10" t="s">
        <v>92</v>
      </c>
      <c r="B10" s="18">
        <v>54604000000</v>
      </c>
      <c r="C10" s="18">
        <v>60099000000</v>
      </c>
      <c r="D10" s="18">
        <v>64613000000</v>
      </c>
      <c r="E10" s="18">
        <v>38945000000</v>
      </c>
      <c r="F10" s="8" t="s">
        <v>93</v>
      </c>
    </row>
    <row r="11" spans="1:6" x14ac:dyDescent="0.25">
      <c r="A11" t="s">
        <v>94</v>
      </c>
      <c r="B11" s="18">
        <v>9129000000</v>
      </c>
      <c r="C11" s="18">
        <v>11973000000</v>
      </c>
      <c r="D11" s="18">
        <v>10944000000</v>
      </c>
      <c r="E11" s="18">
        <v>9305000000</v>
      </c>
      <c r="F11" s="8" t="s">
        <v>95</v>
      </c>
    </row>
    <row r="12" spans="1:6" x14ac:dyDescent="0.25">
      <c r="A12" t="s">
        <v>32</v>
      </c>
      <c r="B12" s="34">
        <v>542000000</v>
      </c>
      <c r="C12" s="34">
        <v>541000000</v>
      </c>
      <c r="D12" s="34">
        <v>538000000</v>
      </c>
      <c r="E12" s="34">
        <v>541000000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