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<sst xmlns="http://schemas.openxmlformats.org/spreadsheetml/2006/main" count="121" uniqueCount="108">
  <si>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Amgen Inc. (AMGN)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</si>
  <si>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</si>
  <si>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</si>
  <si>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</si>
  <si>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</si>
  <si>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</si>
  <si>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</si>
  <si>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</si>
  <si>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</si>
  <si>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</si>
  <si>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</si>
  <si>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</si>
  <si>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</si>
  <si>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</si>
  <si>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</si>
  <si>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</si>
  <si>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</si>
  <si>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</si>
  <si>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</si>
  <si>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</si>
  <si>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</si>
  <si>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</si>
  <si>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</si>
  <si>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</si>
  <si>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3.3x interest cover. Book interest / average debt was lower, at 4.8%.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</si>
  <si>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</si>
  <si>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</si>
  <si>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</si>
  <si>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</si>
  <si>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</si>
  <si>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</si>
  <si>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</si>
  <si>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</si>
  <si>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</si>
  <si>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</si>
  <si>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</si>
  <si>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</si>
  <si>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</si>
  <si>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</si>
  <si>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</si>
  <si>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</si>
  <si>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</si>
  <si>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</si>
  <si>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</si>
  <si>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</si>
  <si>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</si>
  <si>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</si>
  <si>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</si>
  <si>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</si>
  <si>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</si>
  <si>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</si>
  <si>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</si>
  <si>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</si>
  <si>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</si>
  <si>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</si>
  <si>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</si>
  <si>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</si>
  <si>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</si>
  <si>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</si>
  <si>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</si>
  <si>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</si>
  <si>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</si>
  <si>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</si>
  <si>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</si>
  <si>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</si>
  <si>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</si>
  <si>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</si>
  <si>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</si>
  <si>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</si>
  <si>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</si>
  <si>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</si>
  <si>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</si>
  <si>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</si>
  <si>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</si>
  <si>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</si>
  <si>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</si>
  <si>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</si>
  <si>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</si>
  <si>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</si>
  <si>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</si>
  <si>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</si>
  <si>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</si>
  <si>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</si>
  <si>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</si>
  <si>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</si>
  <si>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</si>
  <si>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</si>
  <si>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</si>
  <si>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</si>
  <si>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</si>
  <si>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</si>
  <si>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</si>
  <si>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</si>
  <si>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</si>
  <si>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</si>
  <si>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</si>
  <si>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</si>
  <si>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</si>
  <si>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</si>
  <si>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</si>
  <si>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</si>
  <si>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</si>
  <si>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</si>
  <si>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</si>
  <si>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</si>
  <si>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3.96% of revenue against depreciation of 14.55%. A business cannot depreciate more than it invests indefinitely. Capex has been set to 14.55% of revenue so the forecast is not handed free growth. Override it if the reported figure is right.</t>
  </si>
  <si>
    <t>Current EV/EBITDA of 20.9x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</si>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</sst>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0.0603949895240945</v>
      </c>
    </row>
    <row r="7" spans="1:2" x14ac:dyDescent="0.25">
      <c r="A7" t="s">
        <v>4</v>
      </c>
      <c r="B7" s="5">
        <v>0.2769401716034082</v>
      </c>
    </row>
    <row r="8" spans="1:2" x14ac:dyDescent="0.25">
      <c r="A8" t="s">
        <v>5</v>
      </c>
      <c r="B8" s="5">
        <v>0.12676857193300406</v>
      </c>
    </row>
    <row r="9" spans="1:2" x14ac:dyDescent="0.25">
      <c r="A9" t="s">
        <v>6</v>
      </c>
      <c r="B9" s="5">
        <v>0.14553077216432198</v>
      </c>
    </row>
    <row r="10" spans="1:3" x14ac:dyDescent="0.25">
      <c r="A10" t="s">
        <v>7</v>
      </c>
      <c r="B10" s="5">
        <v>0.14553077216432198</v>
      </c>
      <c r="C10" s="6" t="s">
        <v>8</v>
      </c>
    </row>
    <row r="11" spans="1:2" x14ac:dyDescent="0.25">
      <c r="A11" t="s">
        <v>9</v>
      </c>
      <c r="B11" s="5">
        <v>0.36028584275748876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0.11133647463548867</v>
      </c>
      <c r="C14" s="6" t="s">
        <v>13</v>
      </c>
    </row>
    <row r="15" spans="1:3" x14ac:dyDescent="0.25">
      <c r="A15" t="s">
        <v>14</v>
      </c>
      <c r="B15" s="5">
        <v>0.14553077216432198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0.60939</v>
      </c>
      <c r="C19" s="6" t="s">
        <v>21</v>
      </c>
    </row>
    <row r="20" spans="1:2" x14ac:dyDescent="0.25">
      <c r="A20" t="s">
        <v>22</v>
      </c>
      <c r="B20" s="9">
        <f>B17+B19*B18</f>
        <v>0.074717197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251637170176</v>
      </c>
    </row>
    <row r="23" spans="1:2" x14ac:dyDescent="0.25">
      <c r="A23" t="s">
        <v>26</v>
      </c>
      <c r="B23" s="10">
        <v>54604000000</v>
      </c>
    </row>
    <row r="24" spans="1:2" x14ac:dyDescent="0.25">
      <c r="A24" t="s">
        <v>27</v>
      </c>
      <c r="B24" s="9">
        <f>B22/(B22+B23)</f>
        <v>0.8216960836173056</v>
      </c>
    </row>
    <row r="25" spans="1:2" x14ac:dyDescent="0.25">
      <c r="A25" t="s">
        <v>28</v>
      </c>
      <c r="B25" s="9">
        <f>1-B24</f>
        <v>0.17830391638269438</v>
      </c>
    </row>
    <row r="26" spans="1:2" x14ac:dyDescent="0.25">
      <c r="A26" t="s">
        <v>29</v>
      </c>
      <c r="B26" s="11">
        <f>B24*B20+B25*B21*(1-B8)</f>
        <v>0.07040054990529976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36751000000</v>
      </c>
      <c r="C29" s="6" t="s">
        <v>32</v>
      </c>
    </row>
    <row r="30" spans="1:2" x14ac:dyDescent="0.25">
      <c r="A30" t="s">
        <v>33</v>
      </c>
      <c r="B30" s="10">
        <v>45475000000</v>
      </c>
    </row>
    <row r="31" spans="1:2" x14ac:dyDescent="0.25">
      <c r="A31" t="s">
        <v>34</v>
      </c>
      <c r="B31" s="12">
        <v>542000000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0.0603949895240945</v>
      </c>
      <c r="C5" s="5">
        <v>0.0366364177033085</v>
      </c>
      <c r="D5" s="5">
        <v>0.03518186549039494</v>
      </c>
      <c r="E5" s="5">
        <v>0.03372731327748137</v>
      </c>
      <c r="F5" s="5">
        <v>0.03227276106456781</v>
      </c>
      <c r="G5" s="5">
        <v>0.03081820885165425</v>
      </c>
      <c r="H5" s="5">
        <v>0.029363656638740687</v>
      </c>
      <c r="I5" s="5">
        <v>0.027909104425827128</v>
      </c>
      <c r="J5" s="5">
        <v>0.026454552212913564</v>
      </c>
      <c r="K5" s="5">
        <v>0.025</v>
      </c>
    </row>
    <row r="6" spans="1:11" x14ac:dyDescent="0.25">
      <c r="A6" t="s">
        <v>50</v>
      </c>
      <c r="B6" s="18">
        <f>Assumptions!B29*(1+B5)</f>
        <v>38970576260</v>
      </c>
      <c r="C6" s="18">
        <f>B6*(1+C5)</f>
        <v>40398318570</v>
      </c>
      <c r="D6" s="18">
        <f>C6*(1+D5)</f>
        <v>41819606779.967865</v>
      </c>
      <c r="E6" s="18">
        <f>D6*(1+E5)</f>
        <v>43230069758.97692</v>
      </c>
      <c r="F6" s="18">
        <f>E6*(1+F5)</f>
        <v>44625223471.11298</v>
      </c>
      <c r="G6" s="18">
        <f>F6*(1+G5)</f>
        <v>46000492928.09749</v>
      </c>
      <c r="H6" s="18">
        <f>G6*(1+H5)</f>
        <v>47351235607.65096</v>
      </c>
      <c r="I6" s="18">
        <f>H6*(1+I5)</f>
        <v>48672766186.91683</v>
      </c>
      <c r="J6" s="18">
        <f>I6*(1+J5)</f>
        <v>49960382421.35556</v>
      </c>
      <c r="K6" s="18">
        <f>J6*(1+K5)</f>
        <v>51209391981.88944</v>
      </c>
    </row>
    <row r="7" spans="1:11" x14ac:dyDescent="0.25">
      <c r="A7" t="s">
        <v>4</v>
      </c>
      <c r="B7" s="9">
        <f>Assumptions!B7</f>
        <v>0.2769401716034082</v>
      </c>
      <c r="C7" s="9">
        <f>Assumptions!B7</f>
        <v>0.2769401716034082</v>
      </c>
      <c r="D7" s="9">
        <f>Assumptions!B7</f>
        <v>0.2769401716034082</v>
      </c>
      <c r="E7" s="9">
        <f>Assumptions!B7</f>
        <v>0.2769401716034082</v>
      </c>
      <c r="F7" s="9">
        <f>Assumptions!B7</f>
        <v>0.2769401716034082</v>
      </c>
      <c r="G7" s="9">
        <f>Assumptions!B7</f>
        <v>0.2769401716034082</v>
      </c>
      <c r="H7" s="9">
        <f>Assumptions!B7</f>
        <v>0.2769401716034082</v>
      </c>
      <c r="I7" s="9">
        <f>Assumptions!B7</f>
        <v>0.2769401716034082</v>
      </c>
      <c r="J7" s="9">
        <f>Assumptions!B7</f>
        <v>0.2769401716034082</v>
      </c>
      <c r="K7" s="9">
        <f>Assumptions!B7</f>
        <v>0.2769401716034082</v>
      </c>
    </row>
    <row r="8" spans="1:11" x14ac:dyDescent="0.25">
      <c r="A8" t="s">
        <v>51</v>
      </c>
      <c r="B8" s="18">
        <f>B6*B7</f>
        <v>10792518076.928106</v>
      </c>
      <c r="C8" s="18">
        <f>C6*C7</f>
        <v>11187917277.264954</v>
      </c>
      <c r="D8" s="18">
        <f>D6*D7</f>
        <v>11581529078.031355</v>
      </c>
      <c r="E8" s="18">
        <f>E6*E7</f>
        <v>11972142937.478376</v>
      </c>
      <c r="F8" s="18">
        <f>F6*F7</f>
        <v>12358517045.93047</v>
      </c>
      <c r="G8" s="18">
        <f>G6*G7</f>
        <v>12739384405.348684</v>
      </c>
      <c r="H8" s="18">
        <f>H6*H7</f>
        <v>13113459314.81627</v>
      </c>
      <c r="I8" s="18">
        <f>I6*I7</f>
        <v>13479444220.217314</v>
      </c>
      <c r="J8" s="18">
        <f>J6*J7</f>
        <v>13836036881.142109</v>
      </c>
      <c r="K8" s="18">
        <f>K6*K7</f>
        <v>14181937803.17066</v>
      </c>
    </row>
    <row r="9" spans="1:11" x14ac:dyDescent="0.25">
      <c r="A9" t="s">
        <v>52</v>
      </c>
      <c r="B9" s="18">
        <f>B8*(1-Assumptions!B8)</f>
        <v>9424365972.754799</v>
      </c>
      <c r="C9" s="18">
        <f>C8*(1-Assumptions!B8)</f>
        <v>9769640981.121492</v>
      </c>
      <c r="D9" s="18">
        <f>D8*(1-Assumptions!B8)</f>
        <v>10113355176.008759</v>
      </c>
      <c r="E9" s="18">
        <f>E8*(1-Assumptions!B8)</f>
        <v>10454451474.316442</v>
      </c>
      <c r="F9" s="18">
        <f>F8*(1-Assumptions!B8)</f>
        <v>10791845488.808176</v>
      </c>
      <c r="G9" s="18">
        <f>G8*(1-Assumptions!B8)</f>
        <v>11124430836.977049</v>
      </c>
      <c r="H9" s="18">
        <f>H8*(1-Assumptions!B8)</f>
        <v>11451084804.375462</v>
      </c>
      <c r="I9" s="18">
        <f>I8*(1-Assumptions!B8)</f>
        <v>11770674325.96978</v>
      </c>
      <c r="J9" s="18">
        <f>J8*(1-Assumptions!B8)</f>
        <v>12082062244.507349</v>
      </c>
      <c r="K9" s="18">
        <f>K8*(1-Assumptions!B8)</f>
        <v>12384113800.620031</v>
      </c>
    </row>
    <row r="10" spans="1:11" x14ac:dyDescent="0.25">
      <c r="A10" t="s">
        <v>53</v>
      </c>
      <c r="B10" s="18">
        <f>B6*Assumptions!B9</f>
        <v>5671418054.806395</v>
      </c>
      <c r="C10" s="18">
        <f>C6*Assumptions!B9</f>
        <v>5879198495.632367</v>
      </c>
      <c r="D10" s="18">
        <f>D6*Assumptions!B9</f>
        <v>6086039666.297038</v>
      </c>
      <c r="E10" s="18">
        <f>E6*Assumptions!B9</f>
        <v>6291305432.741416</v>
      </c>
      <c r="F10" s="18">
        <f>F6*Assumptions!B9</f>
        <v>6494343229.756497</v>
      </c>
      <c r="G10" s="18">
        <f>G6*Assumptions!B9</f>
        <v>6694487255.76546</v>
      </c>
      <c r="H10" s="18">
        <f>H6*Assumptions!B9</f>
        <v>6891061880.9161825</v>
      </c>
      <c r="I10" s="18">
        <f>I6*Assumptions!B9</f>
        <v>7083385246.555508</v>
      </c>
      <c r="J10" s="18">
        <f>J6*Assumptions!B9</f>
        <v>7270773031.404693</v>
      </c>
      <c r="K10" s="18">
        <f>K6*Assumptions!B9</f>
        <v>7452542357.189809</v>
      </c>
    </row>
    <row r="11" spans="1:11" x14ac:dyDescent="0.25">
      <c r="A11" t="s">
        <v>54</v>
      </c>
      <c r="B11" s="18">
        <f>-B6*B19</f>
        <v>-5671418054.806395</v>
      </c>
      <c r="C11" s="18">
        <f>-C6*C19</f>
        <v>-6122945135.743568</v>
      </c>
      <c r="D11" s="18">
        <f>-D6*D19</f>
        <v>-6590683869.531697</v>
      </c>
      <c r="E11" s="18">
        <f>-E6*E19</f>
        <v>-7073802177.297645</v>
      </c>
      <c r="F11" s="18">
        <f>-F6*F19</f>
        <v>-7571343329.792623</v>
      </c>
      <c r="G11" s="18">
        <f>-G6*G19</f>
        <v>-8082226398.330824</v>
      </c>
      <c r="H11" s="18">
        <f>-H6*H19</f>
        <v>-8605247766.818335</v>
      </c>
      <c r="I11" s="18">
        <f>-I6*I19</f>
        <v>-9139083738.485428</v>
      </c>
      <c r="J11" s="18">
        <f>-J6*J19</f>
        <v>-9682294259.99748</v>
      </c>
      <c r="K11" s="18">
        <f>-K6*K19</f>
        <v>-10233327773.910866</v>
      </c>
    </row>
    <row r="12" spans="1:11" x14ac:dyDescent="0.25">
      <c r="A12" t="s">
        <v>55</v>
      </c>
      <c r="B12" s="18">
        <f>-(B6-Assumptions!B29)*Assumptions!B11</f>
        <v>-799681903.398615</v>
      </c>
      <c r="C12" s="18">
        <f>-(C6-B6)*Assumptions!B11</f>
        <v>-514395341.39887375</v>
      </c>
      <c r="D12" s="18">
        <f>-(D6-C6)*Assumptions!B11</f>
        <v>-512070020.5295549</v>
      </c>
      <c r="E12" s="18">
        <f>-(E6-D6)*Assumptions!B11</f>
        <v>-508169843.07051593</v>
      </c>
      <c r="F12" s="18">
        <f>-(F6-E6)*Assumptions!B11</f>
        <v>-502654130.9531802</v>
      </c>
      <c r="G12" s="18">
        <f>-(G6-F6)*Assumptions!B11</f>
        <v>-495490115.3282962</v>
      </c>
      <c r="H12" s="18">
        <f>-(H6-G6)*Assumptions!B11</f>
        <v>-486653464.6514321</v>
      </c>
      <c r="I12" s="18">
        <f>-(I6-H6)*Assumptions!B11</f>
        <v>-476128758.48059595</v>
      </c>
      <c r="J12" s="18">
        <f>-(J6-I6)*Assumptions!B11</f>
        <v>-463909900.17298144</v>
      </c>
      <c r="K12" s="18">
        <f>-(K6-J6)*Assumptions!B11</f>
        <v>-450000462.1291104</v>
      </c>
    </row>
    <row r="13" spans="1:11" x14ac:dyDescent="0.25">
      <c r="A13" s="19" t="s">
        <v>56</v>
      </c>
      <c r="B13" s="20">
        <f>B9+B10+B11+B12</f>
        <v>8624684069.356184</v>
      </c>
      <c r="C13" s="20">
        <f>C9+C10+C11+C12</f>
        <v>9011498999.611418</v>
      </c>
      <c r="D13" s="20">
        <f>D9+D10+D11+D12</f>
        <v>9096640952.244547</v>
      </c>
      <c r="E13" s="20">
        <f>E9+E10+E11+E12</f>
        <v>9163784886.689695</v>
      </c>
      <c r="F13" s="20">
        <f>F9+F10+F11+F12</f>
        <v>9212191257.818872</v>
      </c>
      <c r="G13" s="20">
        <f>G9+G10+G11+G12</f>
        <v>9241201579.083387</v>
      </c>
      <c r="H13" s="20">
        <f>H9+H10+H11+H12</f>
        <v>9250245453.821878</v>
      </c>
      <c r="I13" s="20">
        <f>I9+I10+I11+I12</f>
        <v>9238847075.559263</v>
      </c>
      <c r="J13" s="20">
        <f>J9+J10+J11+J12</f>
        <v>9206631115.74158</v>
      </c>
      <c r="K13" s="20">
        <f>K9+K10+K11+K12</f>
        <v>9153327921.769865</v>
      </c>
    </row>
    <row r="14" spans="1:11" x14ac:dyDescent="0.25">
      <c r="A14" t="s">
        <v>57</v>
      </c>
      <c r="B14" s="21">
        <f>1/(1+Assumptions!$B$26)^(1-0.5*Assumptions!$B$32)</f>
        <v>0.9665555930056218</v>
      </c>
      <c r="C14" s="21">
        <f>1/(1+Assumptions!$B$26)^(2-0.5*Assumptions!$B$32)</f>
        <v>0.9029849555768024</v>
      </c>
      <c r="D14" s="21">
        <f>1/(1+Assumptions!$B$26)^(3-0.5*Assumptions!$B$32)</f>
        <v>0.8435953771293287</v>
      </c>
      <c r="E14" s="21">
        <f>1/(1+Assumptions!$B$26)^(4-0.5*Assumptions!$B$32)</f>
        <v>0.7881118682197643</v>
      </c>
      <c r="F14" s="21">
        <f>1/(1+Assumptions!$B$26)^(5-0.5*Assumptions!$B$32)</f>
        <v>0.7362775255389115</v>
      </c>
      <c r="G14" s="21">
        <f>1/(1+Assumptions!$B$26)^(6-0.5*Assumptions!$B$32)</f>
        <v>0.6878523423815984</v>
      </c>
      <c r="H14" s="21">
        <f>1/(1+Assumptions!$B$26)^(7-0.5*Assumptions!$B$32)</f>
        <v>0.6426120973522051</v>
      </c>
      <c r="I14" s="21">
        <f>1/(1+Assumptions!$B$26)^(8-0.5*Assumptions!$B$32)</f>
        <v>0.600347316160346</v>
      </c>
      <c r="J14" s="21">
        <f>1/(1+Assumptions!$B$26)^(9-0.5*Assumptions!$B$32)</f>
        <v>0.5608623016995458</v>
      </c>
      <c r="K14" s="21">
        <f>1/(1+Assumptions!$B$26)^(10-0.5*Assumptions!$B$32)</f>
        <v>0.5239742279179194</v>
      </c>
    </row>
    <row r="15" spans="1:11" x14ac:dyDescent="0.25">
      <c r="A15" s="19" t="s">
        <v>58</v>
      </c>
      <c r="B15" s="20">
        <f>B13*B14</f>
        <v>8336236625.142706</v>
      </c>
      <c r="C15" s="20">
        <f>C13*C14</f>
        <v>8137248023.844515</v>
      </c>
      <c r="D15" s="20">
        <f>D13*D14</f>
        <v>7673884254.718835</v>
      </c>
      <c r="E15" s="20">
        <f>E13*E14</f>
        <v>7222087627.013057</v>
      </c>
      <c r="F15" s="20">
        <f>F13*F14</f>
        <v>6782729384.098072</v>
      </c>
      <c r="G15" s="20">
        <f>G13*G14</f>
        <v>6356582152.593034</v>
      </c>
      <c r="H15" s="20">
        <f>H13*H14</f>
        <v>5944319632.103178</v>
      </c>
      <c r="I15" s="20">
        <f>I13*I14</f>
        <v>5546517046.227865</v>
      </c>
      <c r="J15" s="20">
        <f>J13*J14</f>
        <v>5163652318.473479</v>
      </c>
      <c r="K15" s="20">
        <f>K13*K14</f>
        <v>4796107930.688898</v>
      </c>
    </row>
    <row r="17" spans="1:2" x14ac:dyDescent="0.25">
      <c r="A17" s="22" t="s">
        <v>59</v>
      </c>
      <c r="B17" s="23">
        <f>SUM(B15:K15)</f>
        <v>65959364994.90364</v>
      </c>
    </row>
    <row r="19" spans="1:11" x14ac:dyDescent="0.25">
      <c r="A19" t="s">
        <v>7</v>
      </c>
      <c r="B19" s="9">
        <f>Assumptions!$B$10+($B$20-Assumptions!$B$10)*0/9</f>
        <v>0.14553077216432198</v>
      </c>
      <c r="C19" s="9">
        <f>Assumptions!$B$10+($B$20-Assumptions!$B$10)*1/9</f>
        <v>0.15156435595541096</v>
      </c>
      <c r="D19" s="9">
        <f>Assumptions!$B$10+($B$20-Assumptions!$B$10)*2/9</f>
        <v>0.15759793974649997</v>
      </c>
      <c r="E19" s="9">
        <f>Assumptions!$B$10+($B$20-Assumptions!$B$10)*3/9</f>
        <v>0.16363152353758895</v>
      </c>
      <c r="F19" s="9">
        <f>Assumptions!$B$10+($B$20-Assumptions!$B$10)*4/9</f>
        <v>0.16966510732867796</v>
      </c>
      <c r="G19" s="9">
        <f>Assumptions!$B$10+($B$20-Assumptions!$B$10)*5/9</f>
        <v>0.17569869111976694</v>
      </c>
      <c r="H19" s="9">
        <f>Assumptions!$B$10+($B$20-Assumptions!$B$10)*6/9</f>
        <v>0.18173227491085592</v>
      </c>
      <c r="I19" s="9">
        <f>Assumptions!$B$10+($B$20-Assumptions!$B$10)*7/9</f>
        <v>0.18776585870194493</v>
      </c>
      <c r="J19" s="9">
        <f>Assumptions!$B$10+($B$20-Assumptions!$B$10)*8/9</f>
        <v>0.19379944249303394</v>
      </c>
      <c r="K19" s="9">
        <f>Assumptions!$B$10+($B$20-Assumptions!$B$10)*9/9</f>
        <v>0.19983302628412292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0.19983302628412292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9153327921.769865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12384113800.620031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0.22454456261390562</v>
      </c>
    </row>
    <row r="7" spans="1:2" x14ac:dyDescent="0.25">
      <c r="A7" t="s">
        <v>66</v>
      </c>
      <c r="B7" s="18">
        <f>-MAX(B5,0)*B6</f>
        <v>-2780785416.7210574</v>
      </c>
    </row>
    <row r="8" spans="1:2" x14ac:dyDescent="0.25">
      <c r="A8" t="s">
        <v>67</v>
      </c>
      <c r="B8" s="18">
        <f>IF(OR(Assumptions!$B$33=0,Assumptions!B12&lt;=0),B5,MAX(B5+B7,0))</f>
        <v>9603328383.898973</v>
      </c>
    </row>
    <row r="9" spans="1:2" x14ac:dyDescent="0.25">
      <c r="A9" t="s">
        <v>68</v>
      </c>
      <c r="B9" s="18">
        <f>B8*(1+Assumptions!B12)/(Assumptions!B26-Assumptions!B12)</f>
        <v>216812607204.72888</v>
      </c>
    </row>
    <row r="10" spans="1:2" x14ac:dyDescent="0.25">
      <c r="A10" t="s">
        <v>69</v>
      </c>
      <c r="B10" s="18">
        <f>B9/(1+Assumptions!B26)^(10-0.5*Assumptions!B32)</f>
        <v>113604218462.96893</v>
      </c>
    </row>
    <row r="11" spans="1:2" x14ac:dyDescent="0.25">
      <c r="A11" t="s">
        <v>70</v>
      </c>
      <c r="B11" s="18">
        <f>Forecast!B17+B10</f>
        <v>179563583457.87256</v>
      </c>
    </row>
    <row r="12" spans="1:2" x14ac:dyDescent="0.25">
      <c r="A12" t="s">
        <v>71</v>
      </c>
      <c r="B12" s="18">
        <f>-Assumptions!B30</f>
        <v>-45475000000</v>
      </c>
    </row>
    <row r="13" spans="1:2" x14ac:dyDescent="0.25">
      <c r="A13" t="s">
        <v>72</v>
      </c>
      <c r="B13" s="18">
        <f>B11+B12</f>
        <v>134088583457.87256</v>
      </c>
    </row>
    <row r="14" spans="1:2" x14ac:dyDescent="0.25">
      <c r="A14" s="19" t="s">
        <v>73</v>
      </c>
      <c r="B14" s="24">
        <f>B13/Assumptions!B31</f>
        <v>247.39591043887927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21634480160.36047</v>
      </c>
    </row>
    <row r="18" spans="1:2" x14ac:dyDescent="0.25">
      <c r="A18" t="s">
        <v>68</v>
      </c>
      <c r="B18" s="18">
        <f>B17*Assumptions!B13</f>
        <v>432689603207.2094</v>
      </c>
    </row>
    <row r="19" spans="1:2" x14ac:dyDescent="0.25">
      <c r="A19" t="s">
        <v>69</v>
      </c>
      <c r="B19" s="18">
        <f>B18/(1+Assumptions!B26)^(10-0.5*Assumptions!B32)</f>
        <v>226718200768.60843</v>
      </c>
    </row>
    <row r="20" spans="1:2" x14ac:dyDescent="0.25">
      <c r="A20" t="s">
        <v>70</v>
      </c>
      <c r="B20" s="18">
        <f>Forecast!B17+B19</f>
        <v>292677565763.5121</v>
      </c>
    </row>
    <row r="21" spans="1:2" x14ac:dyDescent="0.25">
      <c r="A21" t="s">
        <v>71</v>
      </c>
      <c r="B21" s="18">
        <f>-Assumptions!B30</f>
        <v>-45475000000</v>
      </c>
    </row>
    <row r="22" spans="1:2" x14ac:dyDescent="0.25">
      <c r="A22" t="s">
        <v>72</v>
      </c>
      <c r="B22" s="18">
        <f>B20+B21</f>
        <v>247202565763.5121</v>
      </c>
    </row>
    <row r="23" spans="1:2" x14ac:dyDescent="0.25">
      <c r="A23" s="19" t="s">
        <v>73</v>
      </c>
      <c r="B23" s="25">
        <f>B22/Assumptions!B31</f>
        <v>456.0932947666275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465.45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247.39591043887927</v>
      </c>
    </row>
    <row r="29" spans="1:2" x14ac:dyDescent="0.25">
      <c r="A29" s="19" t="s">
        <v>81</v>
      </c>
      <c r="B29" s="11">
        <f>B28/B26-1</f>
        <v>-0.4684801580430137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0.050401</v>
      </c>
      <c r="B5" s="31">
        <v>410.86029152648246</v>
      </c>
      <c r="C5" s="31">
        <v>446.3410634342649</v>
      </c>
      <c r="D5" s="31">
        <v>496.880816680408</v>
      </c>
      <c r="E5" s="31">
        <v>573.551788904019</v>
      </c>
      <c r="F5" s="31">
        <v>701.804813470594</v>
      </c>
    </row>
    <row r="6" spans="1:6" x14ac:dyDescent="0.25">
      <c r="A6" s="30">
        <v>0.060401</v>
      </c>
      <c r="B6" s="31">
        <v>302.67520916013666</v>
      </c>
      <c r="C6" s="31">
        <v>317.36824876465573</v>
      </c>
      <c r="D6" s="31">
        <v>336.9506187790746</v>
      </c>
      <c r="E6" s="31">
        <v>363.83473840501483</v>
      </c>
      <c r="F6" s="31">
        <v>402.332494740339</v>
      </c>
    </row>
    <row r="7" spans="1:6" x14ac:dyDescent="0.25">
      <c r="A7" s="30">
        <v>0.070401</v>
      </c>
      <c r="B7" s="31">
        <v>233.60344937587126</v>
      </c>
      <c r="C7" s="31">
        <v>239.56892599597393</v>
      </c>
      <c r="D7" s="32">
        <v>247.39276556594797</v>
      </c>
      <c r="E7" s="31">
        <v>257.76493725111317</v>
      </c>
      <c r="F7" s="31">
        <v>271.7652122931816</v>
      </c>
    </row>
    <row r="8" spans="1:6" x14ac:dyDescent="0.25">
      <c r="A8" s="30">
        <v>0.080401</v>
      </c>
      <c r="B8" s="31">
        <v>185.69785815977727</v>
      </c>
      <c r="C8" s="31">
        <v>187.52462144605337</v>
      </c>
      <c r="D8" s="31">
        <v>190.10307086737888</v>
      </c>
      <c r="E8" s="31">
        <v>193.6569180966521</v>
      </c>
      <c r="F8" s="31">
        <v>198.5084240338359</v>
      </c>
    </row>
    <row r="9" spans="1:6" x14ac:dyDescent="0.25">
      <c r="A9" s="30">
        <v>0.090401</v>
      </c>
      <c r="B9" s="31">
        <v>150.53273551960785</v>
      </c>
      <c r="C9" s="31">
        <v>150.25922107401647</v>
      </c>
      <c r="D9" s="31">
        <v>150.2822291097015</v>
      </c>
      <c r="E9" s="31">
        <v>150.6753980965416</v>
      </c>
      <c r="F9" s="31">
        <v>151.53895030971827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36751000000</v>
      </c>
      <c r="C5" s="18">
        <v>33424000000</v>
      </c>
      <c r="D5" s="18">
        <v>28190000000</v>
      </c>
      <c r="E5" s="18">
        <v>26323000000</v>
      </c>
      <c r="F5" s="6" t="s">
        <v>91</v>
      </c>
    </row>
    <row r="6" spans="1:6" x14ac:dyDescent="0.25">
      <c r="A6" t="s">
        <v>51</v>
      </c>
      <c r="B6" s="18">
        <v>9080000000</v>
      </c>
      <c r="C6" s="18">
        <v>7258000000</v>
      </c>
      <c r="D6" s="18">
        <v>7897000000</v>
      </c>
      <c r="E6" s="18">
        <v>9566000000</v>
      </c>
      <c r="F6" s="6" t="s">
        <v>92</v>
      </c>
    </row>
    <row r="7" spans="1:6" x14ac:dyDescent="0.25">
      <c r="A7" t="s">
        <v>93</v>
      </c>
      <c r="B7" s="18">
        <v>5167000000</v>
      </c>
      <c r="C7" s="18">
        <v>5592000000</v>
      </c>
      <c r="D7" s="18">
        <v>4071000000</v>
      </c>
      <c r="E7" s="18">
        <v>3417000000</v>
      </c>
      <c r="F7" s="6" t="s">
        <v>94</v>
      </c>
    </row>
    <row r="8" spans="1:6" x14ac:dyDescent="0.25">
      <c r="A8" t="s">
        <v>95</v>
      </c>
      <c r="B8" s="18">
        <v>1858000000</v>
      </c>
      <c r="C8" s="18">
        <v>1096000000</v>
      </c>
      <c r="D8" s="18">
        <v>1112000000</v>
      </c>
      <c r="E8" s="18">
        <v>936000000</v>
      </c>
      <c r="F8" s="6" t="s">
        <v>96</v>
      </c>
    </row>
    <row r="9" spans="1:6" x14ac:dyDescent="0.25">
      <c r="A9" t="s">
        <v>97</v>
      </c>
      <c r="B9" s="18">
        <v>1978000000</v>
      </c>
      <c r="C9" s="18">
        <v>-2365000000</v>
      </c>
      <c r="D9" s="18">
        <v>484000000</v>
      </c>
      <c r="E9" s="18">
        <v>733000000</v>
      </c>
      <c r="F9" s="6" t="s">
        <v>98</v>
      </c>
    </row>
    <row r="10" spans="1:6" x14ac:dyDescent="0.25">
      <c r="A10" t="s">
        <v>99</v>
      </c>
      <c r="B10" s="18">
        <v>54604000000</v>
      </c>
      <c r="C10" s="18">
        <v>60099000000</v>
      </c>
      <c r="D10" s="18">
        <v>64613000000</v>
      </c>
      <c r="E10" s="18">
        <v>38945000000</v>
      </c>
      <c r="F10" s="6" t="s">
        <v>100</v>
      </c>
    </row>
    <row r="11" spans="1:6" x14ac:dyDescent="0.25">
      <c r="A11" t="s">
        <v>101</v>
      </c>
      <c r="B11" s="18">
        <v>9129000000</v>
      </c>
      <c r="C11" s="18">
        <v>11973000000</v>
      </c>
      <c r="D11" s="18">
        <v>10944000000</v>
      </c>
      <c r="E11" s="18">
        <v>9305000000</v>
      </c>
      <c r="F11" s="6" t="s">
        <v>102</v>
      </c>
    </row>
    <row r="12" spans="1:6" x14ac:dyDescent="0.25">
      <c r="A12" t="s">
        <v>34</v>
      </c>
      <c r="B12" s="34">
        <v>542000000</v>
      </c>
      <c r="C12" s="34">
        <v>541000000</v>
      </c>
      <c r="D12" s="34">
        <v>538000000</v>
      </c>
      <c r="E12" s="34">
        <v>541000000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