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<sst xmlns="http://schemas.openxmlformats.org/spreadsheetml/2006/main" count="114" uniqueCount="102">
  <si>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Ameriprise Financial, Inc. (AMP)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</si>
  <si>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</si>
  <si>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</si>
  <si>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</si>
  <si>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</si>
  <si>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</si>
  <si>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</si>
  <si>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</si>
  <si>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</si>
  <si>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</si>
  <si>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</si>
  <si>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</si>
  <si>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</si>
  <si>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</si>
  <si>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</si>
  <si>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</si>
  <si>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</si>
  <si>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</si>
  <si>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</si>
  <si>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</si>
  <si>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</si>
  <si>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</si>
  <si>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</si>
  <si>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</si>
  <si>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</si>
  <si>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</si>
  <si>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</si>
  <si>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</si>
  <si>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</si>
  <si>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</si>
  <si>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</si>
  <si>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</si>
  <si>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</si>
  <si>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</si>
  <si>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</si>
  <si>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</si>
  <si>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</si>
  <si>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</si>
  <si>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</si>
  <si>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</si>
  <si>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</si>
  <si>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</si>
  <si>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</si>
  <si>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</si>
  <si>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</si>
  <si>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</si>
  <si>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</si>
  <si>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</si>
  <si>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</si>
  <si>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</si>
  <si>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</si>
  <si>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</si>
  <si>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</si>
  <si>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</si>
  <si>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</si>
  <si>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</si>
  <si>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</si>
  <si>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</si>
  <si>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</si>
  <si>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</si>
  <si>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</si>
  <si>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</si>
  <si>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</si>
  <si>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</si>
  <si>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</si>
  <si>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</si>
  <si>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</si>
  <si>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</si>
  <si>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</si>
  <si>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</si>
  <si>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</si>
  <si>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</si>
  <si>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</si>
  <si>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</si>
  <si>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</si>
  <si>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</si>
  <si>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</si>
  <si>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</si>
  <si>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</si>
  <si>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</si>
  <si>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</si>
  <si>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</si>
  <si>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</si>
  <si>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</si>
  <si>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</si>
  <si>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</si>
  <si>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</si>
  <si>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</si>
  <si>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</si>
  <si>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</si>
  <si>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</si>
  <si>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</si>
  <si>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</si>
  <si>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</si>
  <si>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</si>
  <si>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</si>
  <si>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</si>
  <si>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</si>
  <si>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</si>
  <si>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Capital expenditure runs at 1.1% of revenue against depreciation of -0.7%. A perpetuity has to be a steady state, so the terminal year uses maintenance capex at depreciation and then charges the reinvestment terminal growth requires (g/ROIC of NOPAT). The bridge is shown under Terminal Value.</t>
  </si>
  <si>
    <t>No usable EV/EBITDA (EBITDA is not positive), so the exit multiple falls back to 8x.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</si>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</sst>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0.09030445218644934</v>
      </c>
    </row>
    <row r="7" spans="1:2" x14ac:dyDescent="0.25">
      <c r="A7" t="s">
        <v>5</v>
      </c>
      <c r="B7" s="6">
        <v>0.24369115587348744</v>
      </c>
    </row>
    <row r="8" spans="1:2" x14ac:dyDescent="0.25">
      <c r="A8" t="s">
        <v>6</v>
      </c>
      <c r="B8" s="6">
        <v>0.2059391469749463</v>
      </c>
    </row>
    <row r="9" spans="1:2" x14ac:dyDescent="0.25">
      <c r="A9" t="s">
        <v>7</v>
      </c>
      <c r="B9" s="6">
        <v>-0.006740231533328553</v>
      </c>
    </row>
    <row r="10" spans="1:2" x14ac:dyDescent="0.25">
      <c r="A10" t="s">
        <v>8</v>
      </c>
      <c r="B10" s="6">
        <v>0.0108924611957595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0.30254696440592865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1.08978</v>
      </c>
      <c r="C19" s="8" t="s">
        <v>19</v>
      </c>
    </row>
    <row r="20" spans="1:2" x14ac:dyDescent="0.25">
      <c r="A20" t="s">
        <v>20</v>
      </c>
      <c r="B20" s="10">
        <f>B17+B19*B18</f>
        <v>0.1099179</v>
      </c>
    </row>
    <row r="21" spans="1:3" x14ac:dyDescent="0.25">
      <c r="A21" t="s">
        <v>21</v>
      </c>
      <c r="B21" s="6">
        <v>0.0575260278807129</v>
      </c>
      <c r="C21" s="8" t="s">
        <v>22</v>
      </c>
    </row>
    <row r="22" spans="1:2" x14ac:dyDescent="0.25">
      <c r="A22" t="s">
        <v>23</v>
      </c>
      <c r="B22" s="11">
        <v>48082419712</v>
      </c>
    </row>
    <row r="23" spans="1:2" x14ac:dyDescent="0.25">
      <c r="A23" t="s">
        <v>24</v>
      </c>
      <c r="B23" s="11">
        <v>5862000000</v>
      </c>
    </row>
    <row r="24" spans="1:2" x14ac:dyDescent="0.25">
      <c r="A24" t="s">
        <v>25</v>
      </c>
      <c r="B24" s="10">
        <f>B22/(B22+B23)</f>
        <v>0.8913325969340997</v>
      </c>
    </row>
    <row r="25" spans="1:2" x14ac:dyDescent="0.25">
      <c r="A25" t="s">
        <v>26</v>
      </c>
      <c r="B25" s="10">
        <f>1-B24</f>
        <v>0.10866740306590028</v>
      </c>
    </row>
    <row r="26" spans="1:2" x14ac:dyDescent="0.25">
      <c r="A26" t="s">
        <v>27</v>
      </c>
      <c r="B26" s="12">
        <f>B24*B20+B25*B21*(1-B8)</f>
        <v>0.10293724368366382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18480000000</v>
      </c>
      <c r="C29" s="8" t="s">
        <v>30</v>
      </c>
    </row>
    <row r="30" spans="1:2" x14ac:dyDescent="0.25">
      <c r="A30" t="s">
        <v>31</v>
      </c>
      <c r="B30" s="11">
        <v>-57832000000</v>
      </c>
    </row>
    <row r="31" spans="1:2" x14ac:dyDescent="0.25">
      <c r="A31" t="s">
        <v>32</v>
      </c>
      <c r="B31" s="13">
        <v>91263880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0.09030445218644934</v>
      </c>
      <c r="C5" s="10">
        <f>Assumptions!B6</f>
        <v>0.09030445218644934</v>
      </c>
      <c r="D5" s="10">
        <f>Assumptions!B6</f>
        <v>0.09030445218644934</v>
      </c>
      <c r="E5" s="10">
        <f>Assumptions!B6</f>
        <v>0.09030445218644934</v>
      </c>
      <c r="F5" s="10">
        <f>Assumptions!B6</f>
        <v>0.09030445218644934</v>
      </c>
    </row>
    <row r="6" spans="1:6" x14ac:dyDescent="0.25">
      <c r="A6" t="s">
        <v>43</v>
      </c>
      <c r="B6" s="18">
        <f>Assumptions!B29*(1+B5)</f>
        <v>20148826276.405582</v>
      </c>
      <c r="C6" s="18">
        <f>B6*(1+C5)</f>
        <v>21968354995.496323</v>
      </c>
      <c r="D6" s="18">
        <f>C6*(1+D5)</f>
        <v>23952195258.802067</v>
      </c>
      <c r="E6" s="18">
        <f>D6*(1+E5)</f>
        <v>26115185130.311058</v>
      </c>
      <c r="F6" s="18">
        <f>E6*(1+F5)</f>
        <v>28473502617.251507</v>
      </c>
    </row>
    <row r="7" spans="1:6" x14ac:dyDescent="0.25">
      <c r="A7" t="s">
        <v>5</v>
      </c>
      <c r="B7" s="10">
        <f>Assumptions!B7</f>
        <v>0.24369115587348744</v>
      </c>
      <c r="C7" s="10">
        <f>Assumptions!B7</f>
        <v>0.24369115587348744</v>
      </c>
      <c r="D7" s="10">
        <f>Assumptions!B7</f>
        <v>0.24369115587348744</v>
      </c>
      <c r="E7" s="10">
        <f>Assumptions!B7</f>
        <v>0.24369115587348744</v>
      </c>
      <c r="F7" s="10">
        <f>Assumptions!B7</f>
        <v>0.24369115587348744</v>
      </c>
    </row>
    <row r="8" spans="1:6" x14ac:dyDescent="0.25">
      <c r="A8" t="s">
        <v>44</v>
      </c>
      <c r="B8" s="18">
        <f>B6*B7</f>
        <v>4910090764.791372</v>
      </c>
      <c r="C8" s="18">
        <f>C6*C7</f>
        <v>5353493821.491601</v>
      </c>
      <c r="D8" s="18">
        <f>D6*D7</f>
        <v>5836938148.324942</v>
      </c>
      <c r="E8" s="18">
        <f>E6*E7</f>
        <v>6364039650.255613</v>
      </c>
      <c r="F8" s="18">
        <f>F6*F7</f>
        <v>6938740764.56479</v>
      </c>
    </row>
    <row r="9" spans="1:6" x14ac:dyDescent="0.25">
      <c r="A9" t="s">
        <v>45</v>
      </c>
      <c r="B9" s="18">
        <f>B8*(1-Assumptions!B8)</f>
        <v>3898910861.1206756</v>
      </c>
      <c r="C9" s="18">
        <f>C8*(1-Assumptions!B8)</f>
        <v>4250999870.5579753</v>
      </c>
      <c r="D9" s="18">
        <f>D8*(1-Assumptions!B8)</f>
        <v>4634884085.11338</v>
      </c>
      <c r="E9" s="18">
        <f>E8*(1-Assumptions!B8)</f>
        <v>5053434753.367237</v>
      </c>
      <c r="F9" s="18">
        <f>F8*(1-Assumptions!B8)</f>
        <v>5509782410.43003</v>
      </c>
    </row>
    <row r="10" spans="1:6" x14ac:dyDescent="0.25">
      <c r="A10" t="s">
        <v>46</v>
      </c>
      <c r="B10" s="18">
        <f>B6*Assumptions!B9</f>
        <v>-135807754.22778785</v>
      </c>
      <c r="C10" s="18">
        <f>C6*Assumptions!B9</f>
        <v>-148071799.07600015</v>
      </c>
      <c r="D10" s="18">
        <f>D6*Assumptions!B9</f>
        <v>-161443341.77582037</v>
      </c>
      <c r="E10" s="18">
        <f>E6*Assumptions!B9</f>
        <v>-176022394.31403553</v>
      </c>
      <c r="F10" s="18">
        <f>F6*Assumptions!B9</f>
        <v>-191918000.2051117</v>
      </c>
    </row>
    <row r="11" spans="1:6" x14ac:dyDescent="0.25">
      <c r="A11" t="s">
        <v>47</v>
      </c>
      <c r="B11" s="18">
        <f>-B6*Assumptions!B10</f>
        <v>-219470308.35584718</v>
      </c>
      <c r="C11" s="18">
        <f>-C6*Assumptions!B10</f>
        <v>-239289454.32311305</v>
      </c>
      <c r="D11" s="18">
        <f>-D6*Assumptions!B10</f>
        <v>-260898357.40975618</v>
      </c>
      <c r="E11" s="18">
        <f>-E6*Assumptions!B10</f>
        <v>-284458640.6519887</v>
      </c>
      <c r="F11" s="18">
        <f>-F6*Assumptions!B10</f>
        <v>-310146522.3657686</v>
      </c>
    </row>
    <row r="12" spans="1:6" x14ac:dyDescent="0.25">
      <c r="A12" t="s">
        <v>48</v>
      </c>
      <c r="B12" s="18">
        <f>-(B6-Assumptions!B29)*Assumptions!B11</f>
        <v>1668826276.4055824</v>
      </c>
      <c r="C12" s="18">
        <f>-(C6-B6)*Assumptions!B11</f>
        <v>1819528719.0907402</v>
      </c>
      <c r="D12" s="18">
        <f>-(D6-C6)*Assumptions!B11</f>
        <v>1983840263.3057442</v>
      </c>
      <c r="E12" s="18">
        <f>-(E6-D6)*Assumptions!B11</f>
        <v>2162989871.5089912</v>
      </c>
      <c r="F12" s="18">
        <f>-(F6-E6)*Assumptions!B11</f>
        <v>2358317486.9404488</v>
      </c>
    </row>
    <row r="13" spans="1:6" x14ac:dyDescent="0.25">
      <c r="A13" s="19" t="s">
        <v>49</v>
      </c>
      <c r="B13" s="20">
        <f>B9+B10+B11+B12</f>
        <v>5212459074.942623</v>
      </c>
      <c r="C13" s="20">
        <f>C9+C10+C11+C12</f>
        <v>5683167336.249602</v>
      </c>
      <c r="D13" s="20">
        <f>D9+D10+D11+D12</f>
        <v>6196382649.233547</v>
      </c>
      <c r="E13" s="20">
        <f>E9+E10+E11+E12</f>
        <v>6755943589.910204</v>
      </c>
      <c r="F13" s="20">
        <f>F9+F10+F11+F12</f>
        <v>7366035374.799599</v>
      </c>
    </row>
    <row r="14" spans="1:6" x14ac:dyDescent="0.25">
      <c r="A14" t="s">
        <v>50</v>
      </c>
      <c r="B14" s="21">
        <f>1/(1+Assumptions!$B$26)^(1-0.5*Assumptions!$B$32)</f>
        <v>0.952192154769108</v>
      </c>
      <c r="C14" s="21">
        <f>1/(1+Assumptions!$B$26)^(2-0.5*Assumptions!$B$32)</f>
        <v>0.8633239653680682</v>
      </c>
      <c r="D14" s="21">
        <f>1/(1+Assumptions!$B$26)^(3-0.5*Assumptions!$B$32)</f>
        <v>0.7827498530058529</v>
      </c>
      <c r="E14" s="21">
        <f>1/(1+Assumptions!$B$26)^(4-0.5*Assumptions!$B$32)</f>
        <v>0.7096957306397346</v>
      </c>
      <c r="F14" s="21">
        <f>1/(1+Assumptions!$B$26)^(5-0.5*Assumptions!$B$32)</f>
        <v>0.6434597568484</v>
      </c>
    </row>
    <row r="15" spans="1:6" x14ac:dyDescent="0.25">
      <c r="A15" s="19" t="s">
        <v>51</v>
      </c>
      <c r="B15" s="20">
        <f>B13*B14</f>
        <v>4963262638.215407</v>
      </c>
      <c r="C15" s="20">
        <f>C13*C14</f>
        <v>4906414560.581288</v>
      </c>
      <c r="D15" s="20">
        <f>D13*D14</f>
        <v>4850217607.8555765</v>
      </c>
      <c r="E15" s="20">
        <f>E13*E14</f>
        <v>4794664322.202153</v>
      </c>
      <c r="F15" s="20">
        <f>F13*F14</f>
        <v>4739747331.205262</v>
      </c>
    </row>
    <row r="17" spans="1:2" x14ac:dyDescent="0.25">
      <c r="A17" s="22" t="s">
        <v>52</v>
      </c>
      <c r="B17" s="23">
        <f>SUM(B15:F15)</f>
        <v>24254306460.059685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7366035374.799599</v>
      </c>
    </row>
    <row r="5" spans="1:2" x14ac:dyDescent="0.25">
      <c r="A5" t="s">
        <v>56</v>
      </c>
      <c r="B5" s="18">
        <f>IF(Assumptions!$B$33=0,B4,B4-Forecast!F11-Forecast!F10-Forecast!F12)</f>
        <v>5509782410.43003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0.08263179916245131</v>
      </c>
    </row>
    <row r="7" spans="1:2" x14ac:dyDescent="0.25">
      <c r="A7" t="s">
        <v>58</v>
      </c>
      <c r="B7" s="18">
        <f>-MAX(Forecast!F9,0)*B6</f>
        <v>-455283233.5674611</v>
      </c>
    </row>
    <row r="8" spans="1:2" x14ac:dyDescent="0.25">
      <c r="A8" t="s">
        <v>59</v>
      </c>
      <c r="B8" s="18">
        <f>IF(OR(Assumptions!$B$33=0,Assumptions!B12&lt;=0),B5,MAX(B5+B7,0))</f>
        <v>5054499176.862569</v>
      </c>
    </row>
    <row r="9" spans="1:2" x14ac:dyDescent="0.25">
      <c r="A9" t="s">
        <v>60</v>
      </c>
      <c r="B9" s="18">
        <f>B8*(1+Assumptions!B12)/(Assumptions!B26-Assumptions!B12)</f>
        <v>66474786782.459404</v>
      </c>
    </row>
    <row r="10" spans="1:2" x14ac:dyDescent="0.25">
      <c r="A10" t="s">
        <v>61</v>
      </c>
      <c r="B10" s="18">
        <f>B9/(1+Assumptions!B26)^(5-0.5*Assumptions!B32)</f>
        <v>42773850139.59056</v>
      </c>
    </row>
    <row r="11" spans="1:2" x14ac:dyDescent="0.25">
      <c r="A11" t="s">
        <v>62</v>
      </c>
      <c r="B11" s="18">
        <f>Forecast!B17+B10</f>
        <v>67028156599.650246</v>
      </c>
    </row>
    <row r="12" spans="1:2" x14ac:dyDescent="0.25">
      <c r="A12" t="s">
        <v>63</v>
      </c>
      <c r="B12" s="18">
        <f>-Assumptions!B30</f>
        <v>57831999999.99999</v>
      </c>
    </row>
    <row r="13" spans="1:2" x14ac:dyDescent="0.25">
      <c r="A13" t="s">
        <v>64</v>
      </c>
      <c r="B13" s="18">
        <f>B11+B12</f>
        <v>124860156599.65024</v>
      </c>
    </row>
    <row r="14" spans="1:2" x14ac:dyDescent="0.25">
      <c r="A14" s="19" t="s">
        <v>65</v>
      </c>
      <c r="B14" s="24">
        <f>B13/Assumptions!B31</f>
        <v>1368.1223787510485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6746822764.359678</v>
      </c>
    </row>
    <row r="18" spans="1:2" x14ac:dyDescent="0.25">
      <c r="A18" t="s">
        <v>60</v>
      </c>
      <c r="B18" s="18">
        <f>B17*Assumptions!B13</f>
        <v>53974582114.877426</v>
      </c>
    </row>
    <row r="19" spans="1:2" x14ac:dyDescent="0.25">
      <c r="A19" t="s">
        <v>61</v>
      </c>
      <c r="B19" s="18">
        <f>B18/(1+Assumptions!B26)^(5-0.5*Assumptions!B32)</f>
        <v>34730471483.633026</v>
      </c>
    </row>
    <row r="20" spans="1:2" x14ac:dyDescent="0.25">
      <c r="A20" t="s">
        <v>62</v>
      </c>
      <c r="B20" s="18">
        <f>Forecast!B17+B19</f>
        <v>58984777943.69271</v>
      </c>
    </row>
    <row r="21" spans="1:2" x14ac:dyDescent="0.25">
      <c r="A21" t="s">
        <v>63</v>
      </c>
      <c r="B21" s="18">
        <f>-Assumptions!B30</f>
        <v>57832000000.00001</v>
      </c>
    </row>
    <row r="22" spans="1:2" x14ac:dyDescent="0.25">
      <c r="A22" t="s">
        <v>64</v>
      </c>
      <c r="B22" s="18">
        <f>B20+B21</f>
        <v>116816777943.69272</v>
      </c>
    </row>
    <row r="23" spans="1:2" x14ac:dyDescent="0.25">
      <c r="A23" s="19" t="s">
        <v>65</v>
      </c>
      <c r="B23" s="25">
        <f>B22/Assumptions!B31</f>
        <v>1279.989169249573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544.33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1368.1223787510485</v>
      </c>
    </row>
    <row r="29" spans="1:2" x14ac:dyDescent="0.25">
      <c r="A29" s="19" t="s">
        <v>73</v>
      </c>
      <c r="B29" s="12">
        <f>B28/B26-1</f>
        <v>1.5134061667573868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0.082937</v>
      </c>
      <c r="B5" s="31">
        <v>1510.814618314008</v>
      </c>
      <c r="C5" s="31">
        <v>1550.2857757401582</v>
      </c>
      <c r="D5" s="31">
        <v>1596.4493839605839</v>
      </c>
      <c r="E5" s="31">
        <v>1651.2017869674671</v>
      </c>
      <c r="F5" s="31">
        <v>1717.2305105091195</v>
      </c>
    </row>
    <row r="6" spans="1:6" x14ac:dyDescent="0.25">
      <c r="A6" s="30">
        <v>0.092937</v>
      </c>
      <c r="B6" s="31">
        <v>1406.4772388221331</v>
      </c>
      <c r="C6" s="31">
        <v>1434.1017670779772</v>
      </c>
      <c r="D6" s="31">
        <v>1465.6940403252254</v>
      </c>
      <c r="E6" s="31">
        <v>1502.1997053991429</v>
      </c>
      <c r="F6" s="31">
        <v>1544.8908488316529</v>
      </c>
    </row>
    <row r="7" spans="1:6" x14ac:dyDescent="0.25">
      <c r="A7" s="30">
        <v>0.102937</v>
      </c>
      <c r="B7" s="31">
        <v>1325.594428703225</v>
      </c>
      <c r="C7" s="31">
        <v>1345.6161481929314</v>
      </c>
      <c r="D7" s="32">
        <v>1368.124455593567</v>
      </c>
      <c r="E7" s="31">
        <v>1393.6307349579988</v>
      </c>
      <c r="F7" s="31">
        <v>1422.7969168904183</v>
      </c>
    </row>
    <row r="8" spans="1:6" x14ac:dyDescent="0.25">
      <c r="A8" s="30">
        <v>0.112937</v>
      </c>
      <c r="B8" s="31">
        <v>1260.9966987796413</v>
      </c>
      <c r="C8" s="31">
        <v>1275.905092037653</v>
      </c>
      <c r="D8" s="31">
        <v>1292.4387337299854</v>
      </c>
      <c r="E8" s="31">
        <v>1310.8915665663437</v>
      </c>
      <c r="F8" s="31">
        <v>1331.6329641069158</v>
      </c>
    </row>
    <row r="9" spans="1:6" x14ac:dyDescent="0.25">
      <c r="A9" s="30">
        <v>0.122937</v>
      </c>
      <c r="B9" s="31">
        <v>1208.170530714407</v>
      </c>
      <c r="C9" s="31">
        <v>1219.5113926298511</v>
      </c>
      <c r="D9" s="31">
        <v>1231.9497699714098</v>
      </c>
      <c r="E9" s="31">
        <v>1245.6628013533232</v>
      </c>
      <c r="F9" s="31">
        <v>1260.867913008069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18480000000</v>
      </c>
      <c r="C5" s="18">
        <v>17264000000</v>
      </c>
      <c r="D5" s="18">
        <v>15535000000</v>
      </c>
      <c r="E5" s="18">
        <v>14258000000</v>
      </c>
      <c r="F5" s="8" t="s">
        <v>84</v>
      </c>
    </row>
    <row r="6" spans="1:6" x14ac:dyDescent="0.25">
      <c r="A6" t="s">
        <v>44</v>
      </c>
      <c r="B6" s="18">
        <v>4504000000</v>
      </c>
      <c r="C6" s="18">
        <v>4267000000</v>
      </c>
      <c r="D6" s="18">
        <v>3234000000</v>
      </c>
      <c r="E6" s="18">
        <v>3931000000</v>
      </c>
      <c r="F6" s="8" t="s">
        <v>85</v>
      </c>
    </row>
    <row r="7" spans="1:6" x14ac:dyDescent="0.25">
      <c r="A7" t="s">
        <v>86</v>
      </c>
      <c r="B7" s="18">
        <v>-93000000</v>
      </c>
      <c r="C7" s="18">
        <v>-159000000</v>
      </c>
      <c r="D7" s="18">
        <v>-154000000</v>
      </c>
      <c r="E7" s="18">
        <v>-40000000</v>
      </c>
      <c r="F7" s="8" t="s">
        <v>87</v>
      </c>
    </row>
    <row r="8" spans="1:6" x14ac:dyDescent="0.25">
      <c r="A8" t="s">
        <v>88</v>
      </c>
      <c r="B8" s="18">
        <v>162000000</v>
      </c>
      <c r="C8" s="18">
        <v>176000000</v>
      </c>
      <c r="D8" s="18">
        <v>184000000</v>
      </c>
      <c r="E8" s="18">
        <v>182000000</v>
      </c>
      <c r="F8" s="8" t="s">
        <v>89</v>
      </c>
    </row>
    <row r="9" spans="1:6" x14ac:dyDescent="0.25">
      <c r="A9" t="s">
        <v>90</v>
      </c>
      <c r="B9" s="18">
        <v>-4460000000</v>
      </c>
      <c r="C9" s="18">
        <v>-3012000000</v>
      </c>
      <c r="D9" s="18">
        <v>-2006000000</v>
      </c>
      <c r="E9" s="18">
        <v>-807000000</v>
      </c>
      <c r="F9" s="8" t="s">
        <v>91</v>
      </c>
    </row>
    <row r="10" spans="1:6" x14ac:dyDescent="0.25">
      <c r="A10" t="s">
        <v>92</v>
      </c>
      <c r="B10" s="18">
        <v>5862000000</v>
      </c>
      <c r="C10" s="18">
        <v>5472000000</v>
      </c>
      <c r="D10" s="18">
        <v>5755000000</v>
      </c>
      <c r="E10" s="18">
        <v>5385000000</v>
      </c>
      <c r="F10" s="8" t="s">
        <v>93</v>
      </c>
    </row>
    <row r="11" spans="1:6" x14ac:dyDescent="0.25">
      <c r="A11" t="s">
        <v>94</v>
      </c>
      <c r="B11" s="18">
        <v>63694000000</v>
      </c>
      <c r="C11" s="18">
        <v>60675000000</v>
      </c>
      <c r="D11" s="18">
        <v>59126000000</v>
      </c>
      <c r="E11" s="18">
        <v>47908000000</v>
      </c>
      <c r="F11" s="8" t="s">
        <v>95</v>
      </c>
    </row>
    <row r="12" spans="1:6" x14ac:dyDescent="0.25">
      <c r="A12" t="s">
        <v>32</v>
      </c>
      <c r="B12" s="34">
        <v>91263880</v>
      </c>
      <c r="C12" s="34">
        <v>96166693</v>
      </c>
      <c r="D12" s="34">
        <v>100173212</v>
      </c>
      <c r="E12" s="34">
        <v>105278990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2026-09-19T00:07:16Z</dcterms:modified>
</cp:coreProperties>
</file>