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<sst xmlns="http://schemas.openxmlformats.org/spreadsheetml/2006/main" count="122" uniqueCount="105">
  <si>
    <t>AMP Limited (AMP.AX)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</si>
  <si>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</si>
  <si>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</si>
  <si>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</si>
  <si>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</si>
  <si>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</si>
  <si>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</si>
  <si>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</si>
  <si>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</si>
  <si>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</si>
  <si>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</si>
  <si>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</si>
  <si>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</si>
  <si>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</si>
  <si>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</si>
  <si>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</si>
  <si>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</si>
  <si>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</si>
  <si>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</si>
  <si>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</si>
  <si>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</si>
  <si>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</si>
  <si>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</si>
  <si>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</si>
  <si>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</si>
  <si>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</si>
  <si>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</si>
  <si>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</si>
  <si>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</si>
  <si>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</si>
  <si>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2025-12-31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</si>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</sst>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-0.15337273045326894</v>
      </c>
    </row>
    <row r="7" spans="1:2" x14ac:dyDescent="0.25">
      <c r="A7" t="s">
        <v>5</v>
      </c>
      <c r="B7" s="6">
        <v>-0.27047435925527663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0.07043294834563435</v>
      </c>
    </row>
    <row r="10" spans="1:2" x14ac:dyDescent="0.25">
      <c r="A10" t="s">
        <v>8</v>
      </c>
      <c r="B10" s="6">
        <v>0.046083807216237865</v>
      </c>
    </row>
    <row r="11" spans="1:2" x14ac:dyDescent="0.25">
      <c r="A11" t="s">
        <v>9</v>
      </c>
      <c r="B11" s="6">
        <v>0.24224806201550386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0.037436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0.58058</v>
      </c>
      <c r="C19" s="8" t="s">
        <v>19</v>
      </c>
    </row>
    <row r="20" spans="1:2" x14ac:dyDescent="0.25">
      <c r="A20" t="s">
        <v>20</v>
      </c>
      <c r="B20" s="10">
        <f>B17+B19*B18</f>
        <v>0.0883148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29637000000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0.037436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869000000</v>
      </c>
      <c r="C29" s="8" t="s">
        <v>30</v>
      </c>
    </row>
    <row r="30" spans="1:2" x14ac:dyDescent="0.25">
      <c r="A30" t="s">
        <v>31</v>
      </c>
      <c r="B30" s="11">
        <v>22281000000</v>
      </c>
    </row>
    <row r="31" spans="1:2" x14ac:dyDescent="0.25">
      <c r="A31" t="s">
        <v>32</v>
      </c>
      <c r="B31" s="13">
        <v>2557692308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-0.15337273045326894</v>
      </c>
      <c r="C5" s="10">
        <f>Assumptions!B6</f>
        <v>-0.15337273045326894</v>
      </c>
      <c r="D5" s="10">
        <f>Assumptions!B6</f>
        <v>-0.15337273045326894</v>
      </c>
      <c r="E5" s="10">
        <f>Assumptions!B6</f>
        <v>-0.15337273045326894</v>
      </c>
      <c r="F5" s="10">
        <f>Assumptions!B6</f>
        <v>-0.15337273045326894</v>
      </c>
    </row>
    <row r="6" spans="1:6" x14ac:dyDescent="0.25">
      <c r="A6" t="s">
        <v>43</v>
      </c>
      <c r="B6" s="18">
        <f>Assumptions!B29*(1+B5)</f>
        <v>735719097.2361093</v>
      </c>
      <c r="C6" s="18">
        <f>B6*(1+C5)</f>
        <v>622879850.4463931</v>
      </c>
      <c r="D6" s="18">
        <f>C6*(1+D5)</f>
        <v>527347067.039106</v>
      </c>
      <c r="E6" s="18">
        <f>D6*(1+E5)</f>
        <v>446466407.4707953</v>
      </c>
      <c r="F6" s="18">
        <f>E6*(1+F5)</f>
        <v>377990635.50133765</v>
      </c>
    </row>
    <row r="7" spans="1:6" x14ac:dyDescent="0.25">
      <c r="A7" t="s">
        <v>5</v>
      </c>
      <c r="B7" s="10">
        <f>Assumptions!B7</f>
        <v>-0.27047435925527663</v>
      </c>
      <c r="C7" s="10">
        <f>Assumptions!B7</f>
        <v>-0.27047435925527663</v>
      </c>
      <c r="D7" s="10">
        <f>Assumptions!B7</f>
        <v>-0.27047435925527663</v>
      </c>
      <c r="E7" s="10">
        <f>Assumptions!B7</f>
        <v>-0.27047435925527663</v>
      </c>
      <c r="F7" s="10">
        <f>Assumptions!B7</f>
        <v>-0.27047435925527663</v>
      </c>
    </row>
    <row r="8" spans="1:6" x14ac:dyDescent="0.25">
      <c r="A8" t="s">
        <v>44</v>
      </c>
      <c r="B8" s="18">
        <f>B6*B7</f>
        <v>-198993151.4168072</v>
      </c>
      <c r="C8" s="18">
        <f>C6*C7</f>
        <v>-168473028.44251072</v>
      </c>
      <c r="D8" s="18">
        <f>D6*D7</f>
        <v>-142633860.06255162</v>
      </c>
      <c r="E8" s="18">
        <f>E6*E7</f>
        <v>-120757715.48966861</v>
      </c>
      <c r="F8" s="18">
        <f>F6*F7</f>
        <v>-102236774.94171911</v>
      </c>
    </row>
    <row r="9" spans="1:6" x14ac:dyDescent="0.25">
      <c r="A9" t="s">
        <v>45</v>
      </c>
      <c r="B9" s="18">
        <f>B8*(1-Assumptions!B8)</f>
        <v>-139295205.99176502</v>
      </c>
      <c r="C9" s="18">
        <f>C8*(1-Assumptions!B8)</f>
        <v>-117931119.9097575</v>
      </c>
      <c r="D9" s="18">
        <f>D8*(1-Assumptions!B8)</f>
        <v>-99843702.04378612</v>
      </c>
      <c r="E9" s="18">
        <f>E8*(1-Assumptions!B8)</f>
        <v>-84530400.84276801</v>
      </c>
      <c r="F9" s="18">
        <f>F8*(1-Assumptions!B8)</f>
        <v>-71565742.45920338</v>
      </c>
    </row>
    <row r="10" spans="1:6" x14ac:dyDescent="0.25">
      <c r="A10" t="s">
        <v>46</v>
      </c>
      <c r="B10" s="18">
        <f>B6*Assumptions!B9</f>
        <v>51818865.17252762</v>
      </c>
      <c r="C10" s="18">
        <f>C6*Assumptions!B9</f>
        <v>43871264.33202726</v>
      </c>
      <c r="D10" s="18">
        <f>D6*Assumptions!B9</f>
        <v>37142608.73298713</v>
      </c>
      <c r="E10" s="18">
        <f>E6*Assumptions!B9</f>
        <v>31445945.41545146</v>
      </c>
      <c r="F10" s="18">
        <f>F6*Assumptions!B9</f>
        <v>26622994.905399214</v>
      </c>
    </row>
    <row r="11" spans="1:6" x14ac:dyDescent="0.25">
      <c r="A11" t="s">
        <v>47</v>
      </c>
      <c r="B11" s="18">
        <f>-B6*Assumptions!B10</f>
        <v>-33904737.04233342</v>
      </c>
      <c r="C11" s="18">
        <f>-C6*Assumptions!B10</f>
        <v>-28704674.946850654</v>
      </c>
      <c r="D11" s="18">
        <f>-D6*Assumptions!B10</f>
        <v>-24302160.573478628</v>
      </c>
      <c r="E11" s="18">
        <f>-E6*Assumptions!B10</f>
        <v>-20574871.85041043</v>
      </c>
      <c r="F11" s="18">
        <f>-F6*Assumptions!B10</f>
        <v>-17419247.57598688</v>
      </c>
    </row>
    <row r="12" spans="1:6" x14ac:dyDescent="0.25">
      <c r="A12" t="s">
        <v>48</v>
      </c>
      <c r="B12" s="18">
        <f>-(B6-Assumptions!B29)*Assumptions!B11</f>
        <v>32287040.398229346</v>
      </c>
      <c r="C12" s="18">
        <f>-(C6-B6)*Assumptions!B11</f>
        <v>27335088.854097895</v>
      </c>
      <c r="D12" s="18">
        <f>-(D6-C6)*Assumptions!B11</f>
        <v>23142631.63936219</v>
      </c>
      <c r="E12" s="18">
        <f>-(E6-D6)*Assumptions!B11</f>
        <v>19593183.034958996</v>
      </c>
      <c r="F12" s="18">
        <f>-(F6-E6)*Assumptions!B11</f>
        <v>16588123.054616673</v>
      </c>
    </row>
    <row r="13" spans="1:6" x14ac:dyDescent="0.25">
      <c r="A13" s="19" t="s">
        <v>49</v>
      </c>
      <c r="B13" s="20">
        <f>B9+B10+B11+B12</f>
        <v>-89094037.46334149</v>
      </c>
      <c r="C13" s="20">
        <f>C9+C10+C11+C12</f>
        <v>-75429441.670483</v>
      </c>
      <c r="D13" s="20">
        <f>D9+D10+D11+D12</f>
        <v>-63860622.24491544</v>
      </c>
      <c r="E13" s="20">
        <f>E9+E10+E11+E12</f>
        <v>-54066144.24276798</v>
      </c>
      <c r="F13" s="20">
        <f>F9+F10+F11+F12</f>
        <v>-45773872.07517436</v>
      </c>
    </row>
    <row r="14" spans="1:6" x14ac:dyDescent="0.25">
      <c r="A14" t="s">
        <v>50</v>
      </c>
      <c r="B14" s="21">
        <f>1/(1+Assumptions!$B$26)^(1-0.5*Assumptions!$B$32)</f>
        <v>0.9817916695818003</v>
      </c>
      <c r="C14" s="21">
        <f>1/(1+Assumptions!$B$26)^(2-0.5*Assumptions!$B$32)</f>
        <v>0.9463636017853635</v>
      </c>
      <c r="D14" s="21">
        <f>1/(1+Assumptions!$B$26)^(3-0.5*Assumptions!$B$32)</f>
        <v>0.9122139599795683</v>
      </c>
      <c r="E14" s="21">
        <f>1/(1+Assumptions!$B$26)^(4-0.5*Assumptions!$B$32)</f>
        <v>0.8792966120122768</v>
      </c>
      <c r="F14" s="21">
        <f>1/(1+Assumptions!$B$26)^(5-0.5*Assumptions!$B$32)</f>
        <v>0.8475670904154827</v>
      </c>
    </row>
    <row r="15" spans="1:6" x14ac:dyDescent="0.25">
      <c r="A15" s="19" t="s">
        <v>51</v>
      </c>
      <c r="B15" s="20">
        <f>B13*B14</f>
        <v>-87471783.7909175</v>
      </c>
      <c r="C15" s="20">
        <f>C13*C14</f>
        <v>-71383678.09993728</v>
      </c>
      <c r="D15" s="20">
        <f>D13*D14</f>
        <v>-58254551.10479362</v>
      </c>
      <c r="E15" s="20">
        <f>E13*E14</f>
        <v>-47540177.45723295</v>
      </c>
      <c r="F15" s="20">
        <f>F13*F14</f>
        <v>-38796427.57180605</v>
      </c>
    </row>
    <row r="17" spans="1:2" x14ac:dyDescent="0.25">
      <c r="A17" s="22" t="s">
        <v>52</v>
      </c>
      <c r="B17" s="23">
        <f>SUM(B15:F15)</f>
        <v>-303446618.0246874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-45773872.07517436</v>
      </c>
    </row>
    <row r="5" spans="1:2" x14ac:dyDescent="0.25">
      <c r="A5" t="s">
        <v>56</v>
      </c>
      <c r="B5" s="18">
        <f>IF(Assumptions!$B$33=0,B4,B4-Forecast!F11-Forecast!F10-Forecast!F12)</f>
        <v>-71565742.45920338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0.6678063895715355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-303446618.0246874</v>
      </c>
    </row>
    <row r="12" spans="1:2" x14ac:dyDescent="0.25">
      <c r="A12" t="s">
        <v>63</v>
      </c>
      <c r="B12" s="18">
        <f>-Assumptions!B30</f>
        <v>-22281000000</v>
      </c>
    </row>
    <row r="13" spans="1:2" x14ac:dyDescent="0.25">
      <c r="A13" t="s">
        <v>64</v>
      </c>
      <c r="B13" s="18">
        <f>B11+B12</f>
        <v>-22584446618.02469</v>
      </c>
    </row>
    <row r="14" spans="1:2" x14ac:dyDescent="0.25">
      <c r="A14" s="19" t="s">
        <v>65</v>
      </c>
      <c r="B14" s="24">
        <f>B13/Assumptions!B31</f>
        <v>-8.830009202977472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-75613780.0363199</v>
      </c>
    </row>
    <row r="18" spans="1:2" x14ac:dyDescent="0.25">
      <c r="A18" t="s">
        <v>60</v>
      </c>
      <c r="B18" s="18">
        <f>B17*Assumptions!B13</f>
        <v>-604910240.2905592</v>
      </c>
    </row>
    <row r="19" spans="1:2" x14ac:dyDescent="0.25">
      <c r="A19" t="s">
        <v>61</v>
      </c>
      <c r="B19" s="18">
        <f>B18/(1+Assumptions!B26)^(5-0.5*Assumptions!B32)</f>
        <v>-512702012.32559973</v>
      </c>
    </row>
    <row r="20" spans="1:2" x14ac:dyDescent="0.25">
      <c r="A20" t="s">
        <v>62</v>
      </c>
      <c r="B20" s="18">
        <f>Forecast!B17+B19</f>
        <v>-816148630.3502872</v>
      </c>
    </row>
    <row r="21" spans="1:2" x14ac:dyDescent="0.25">
      <c r="A21" t="s">
        <v>63</v>
      </c>
      <c r="B21" s="18">
        <f>-Assumptions!B30</f>
        <v>-22281000000</v>
      </c>
    </row>
    <row r="22" spans="1:2" x14ac:dyDescent="0.25">
      <c r="A22" t="s">
        <v>64</v>
      </c>
      <c r="B22" s="18">
        <f>B20+B21</f>
        <v>-23097148630.35029</v>
      </c>
    </row>
    <row r="23" spans="1:2" x14ac:dyDescent="0.25">
      <c r="A23" s="19" t="s">
        <v>65</v>
      </c>
      <c r="B23" s="25">
        <f>B22/Assumptions!B31</f>
        <v>-9.03046412506562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2.52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-8.830009202977472</v>
      </c>
    </row>
    <row r="29" spans="1:2" x14ac:dyDescent="0.25">
      <c r="A29" s="19" t="s">
        <v>73</v>
      </c>
      <c r="B29" s="12">
        <f>B28/B26-1</f>
        <v>-4.503971905943441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0.017436</v>
      </c>
      <c r="B5" s="31">
        <v>-8.835005741686178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0.027436</v>
      </c>
      <c r="B6" s="31">
        <v>-8.832458618694876</v>
      </c>
      <c r="C6" s="31">
        <v>-8.832458618694876</v>
      </c>
      <c r="D6" s="31">
        <v>-8.832458618694876</v>
      </c>
      <c r="E6" s="31" t="s">
        <v>76</v>
      </c>
      <c r="F6" s="31" t="s">
        <v>76</v>
      </c>
    </row>
    <row r="7" spans="1:6" x14ac:dyDescent="0.25">
      <c r="A7" s="30">
        <v>0.037436</v>
      </c>
      <c r="B7" s="31">
        <v>-8.830009202977472</v>
      </c>
      <c r="C7" s="31">
        <v>-8.830009202977472</v>
      </c>
      <c r="D7" s="32">
        <v>-8.830009202977472</v>
      </c>
      <c r="E7" s="31">
        <v>-8.830009202977472</v>
      </c>
      <c r="F7" s="31">
        <v>-8.830009202977472</v>
      </c>
    </row>
    <row r="8" spans="1:6" x14ac:dyDescent="0.25">
      <c r="A8" s="30">
        <v>0.047436</v>
      </c>
      <c r="B8" s="31">
        <v>-8.82765251887499</v>
      </c>
      <c r="C8" s="31">
        <v>-8.82765251887499</v>
      </c>
      <c r="D8" s="31">
        <v>-8.82765251887499</v>
      </c>
      <c r="E8" s="31">
        <v>-8.82765251887499</v>
      </c>
      <c r="F8" s="31">
        <v>-8.82765251887499</v>
      </c>
    </row>
    <row r="9" spans="1:6" x14ac:dyDescent="0.25">
      <c r="A9" s="30">
        <v>0.057436</v>
      </c>
      <c r="B9" s="31">
        <v>-8.825383898151316</v>
      </c>
      <c r="C9" s="31">
        <v>-8.825383898151316</v>
      </c>
      <c r="D9" s="31">
        <v>-8.825383898151316</v>
      </c>
      <c r="E9" s="31">
        <v>-8.825383898151316</v>
      </c>
      <c r="F9" s="31">
        <v>-8.825383898151316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869000000</v>
      </c>
      <c r="C5" s="18">
        <v>856000000</v>
      </c>
      <c r="D5" s="18">
        <v>1372000000</v>
      </c>
      <c r="E5" s="18">
        <v>1432000000</v>
      </c>
      <c r="F5" s="8" t="s">
        <v>85</v>
      </c>
    </row>
    <row r="6" spans="1:6" x14ac:dyDescent="0.25">
      <c r="A6" t="s">
        <v>44</v>
      </c>
      <c r="B6" s="18">
        <v>-249000000</v>
      </c>
      <c r="C6" s="18">
        <v>-141000000</v>
      </c>
      <c r="D6" s="18">
        <v>-482000000</v>
      </c>
      <c r="E6" s="18">
        <v>-400000000</v>
      </c>
      <c r="F6" s="8" t="s">
        <v>86</v>
      </c>
    </row>
    <row r="7" spans="1:6" x14ac:dyDescent="0.25">
      <c r="A7" t="s">
        <v>87</v>
      </c>
      <c r="B7" s="18">
        <v>73000000</v>
      </c>
      <c r="C7" s="18">
        <v>67000000</v>
      </c>
      <c r="D7" s="18">
        <v>70000000</v>
      </c>
      <c r="E7" s="18">
        <v>98000000</v>
      </c>
      <c r="F7" s="8" t="s">
        <v>88</v>
      </c>
    </row>
    <row r="8" spans="1:6" x14ac:dyDescent="0.25">
      <c r="A8" t="s">
        <v>89</v>
      </c>
      <c r="B8" s="18">
        <v>74000000</v>
      </c>
      <c r="C8" s="18">
        <v>47000000</v>
      </c>
      <c r="D8" s="18">
        <v>32000000</v>
      </c>
      <c r="E8" s="18">
        <v>30000000</v>
      </c>
      <c r="F8" s="8" t="s">
        <v>90</v>
      </c>
    </row>
    <row r="9" spans="1:6" x14ac:dyDescent="0.25">
      <c r="A9" t="s">
        <v>91</v>
      </c>
      <c r="B9" s="18">
        <v>44000000</v>
      </c>
      <c r="C9" s="18">
        <v>-125000000</v>
      </c>
      <c r="D9" s="18">
        <v>94000000</v>
      </c>
      <c r="E9" s="18">
        <v>0</v>
      </c>
      <c r="F9" s="8" t="s">
        <v>92</v>
      </c>
    </row>
    <row r="10" spans="1:6" x14ac:dyDescent="0.25">
      <c r="A10" t="s">
        <v>93</v>
      </c>
      <c r="B10" s="18">
        <v>29637000000</v>
      </c>
      <c r="C10" s="18">
        <v>28714000000</v>
      </c>
      <c r="D10" s="18">
        <v>28918000000</v>
      </c>
      <c r="E10" s="18">
        <v>29531000000</v>
      </c>
      <c r="F10" s="8" t="s">
        <v>94</v>
      </c>
    </row>
    <row r="11" spans="1:6" x14ac:dyDescent="0.25">
      <c r="A11" t="s">
        <v>95</v>
      </c>
      <c r="B11" s="18">
        <v>7356000000</v>
      </c>
      <c r="C11" s="18">
        <v>7179000000</v>
      </c>
      <c r="D11" s="18">
        <v>6485000000</v>
      </c>
      <c r="E11" s="18">
        <v>7058000000</v>
      </c>
      <c r="F11" s="8" t="s">
        <v>96</v>
      </c>
    </row>
    <row r="12" spans="1:6" x14ac:dyDescent="0.25">
      <c r="A12" t="s">
        <v>32</v>
      </c>
      <c r="B12" s="34">
        <v>2557692308</v>
      </c>
      <c r="C12" s="34">
        <v>2678571429</v>
      </c>
      <c r="D12" s="34">
        <v>2902519168</v>
      </c>
      <c r="E12" s="34">
        <v>3263069140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0" ht="22" customHeight="1" spans="1:6" x14ac:dyDescent="0.25">
      <c r="A20" s="35" t="s">
        <v>103</v>
      </c>
      <c r="B20" s="35"/>
      <c r="C20" s="35"/>
      <c r="D20" s="35"/>
      <c r="E20" s="35"/>
      <c r="F20" s="35"/>
    </row>
    <row r="22" spans="1:1" x14ac:dyDescent="0.25">
      <c r="A22" s="36" t="s">
        <v>104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2026-09-19T00:06:57Z</dcterms:modified>
</cp:coreProperties>
</file>