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<sst xmlns="http://schemas.openxmlformats.org/spreadsheetml/2006/main" count="112" uniqueCount="100">
  <si>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Amplifon S.p.A. (AMP.MI)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</si>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</sst>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0.04173883156690228</v>
      </c>
    </row>
    <row r="7" spans="1:2" x14ac:dyDescent="0.25">
      <c r="A7" t="s">
        <v>5</v>
      </c>
      <c r="B7" s="6">
        <v>0.10689526599210492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0.12221469506342694</v>
      </c>
    </row>
    <row r="10" spans="1:2" x14ac:dyDescent="0.25">
      <c r="A10" t="s">
        <v>8</v>
      </c>
      <c r="B10" s="6">
        <v>0.056860775243407324</v>
      </c>
    </row>
    <row r="11" spans="1:2" x14ac:dyDescent="0.25">
      <c r="A11" t="s">
        <v>9</v>
      </c>
      <c r="B11" s="6">
        <v>0.06271371614239703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8.733459860922757</v>
      </c>
    </row>
    <row r="14" spans="1:3" x14ac:dyDescent="0.25">
      <c r="A14" t="s">
        <v>12</v>
      </c>
      <c r="B14" s="6">
        <v>0.08451906713735008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0.99397</v>
      </c>
      <c r="C19" s="8" t="s">
        <v>19</v>
      </c>
    </row>
    <row r="20" spans="1:2" x14ac:dyDescent="0.25">
      <c r="A20" t="s">
        <v>20</v>
      </c>
      <c r="B20" s="10">
        <f>B17+B19*B18</f>
        <v>0.10660805000000001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3028203776</v>
      </c>
    </row>
    <row r="23" spans="1:2" x14ac:dyDescent="0.25">
      <c r="A23" t="s">
        <v>24</v>
      </c>
      <c r="B23" s="11">
        <v>1820811000</v>
      </c>
    </row>
    <row r="24" spans="1:2" x14ac:dyDescent="0.25">
      <c r="A24" t="s">
        <v>25</v>
      </c>
      <c r="B24" s="10">
        <f>B22/(B22+B23)</f>
        <v>0.6244987726141753</v>
      </c>
    </row>
    <row r="25" spans="1:2" x14ac:dyDescent="0.25">
      <c r="A25" t="s">
        <v>26</v>
      </c>
      <c r="B25" s="10">
        <f>1-B24</f>
        <v>0.3755012273858247</v>
      </c>
    </row>
    <row r="26" spans="1:2" x14ac:dyDescent="0.25">
      <c r="A26" t="s">
        <v>27</v>
      </c>
      <c r="B26" s="12">
        <f>B24*B20+B25*B21*(1-B8)</f>
        <v>0.07840488503844412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2395705000</v>
      </c>
      <c r="C29" s="8" t="s">
        <v>30</v>
      </c>
    </row>
    <row r="30" spans="1:2" x14ac:dyDescent="0.25">
      <c r="A30" t="s">
        <v>31</v>
      </c>
      <c r="B30" s="11">
        <v>1511929000</v>
      </c>
    </row>
    <row r="31" spans="1:2" x14ac:dyDescent="0.25">
      <c r="A31" t="s">
        <v>32</v>
      </c>
      <c r="B31" s="13">
        <v>219937482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0.04173883156690228</v>
      </c>
      <c r="C5" s="10">
        <f>Assumptions!B6</f>
        <v>0.04173883156690228</v>
      </c>
      <c r="D5" s="10">
        <f>Assumptions!B6</f>
        <v>0.04173883156690228</v>
      </c>
      <c r="E5" s="10">
        <f>Assumptions!B6</f>
        <v>0.04173883156690228</v>
      </c>
      <c r="F5" s="10">
        <f>Assumptions!B6</f>
        <v>0.04173883156690228</v>
      </c>
    </row>
    <row r="6" spans="1:6" x14ac:dyDescent="0.25">
      <c r="A6" t="s">
        <v>43</v>
      </c>
      <c r="B6" s="18">
        <f>Assumptions!B29*(1+B5)</f>
        <v>2495698927.478986</v>
      </c>
      <c r="C6" s="18">
        <f>B6*(1+C5)</f>
        <v>2599866484.65473</v>
      </c>
      <c r="D6" s="18">
        <f>C6*(1+D5)</f>
        <v>2708381873.954168</v>
      </c>
      <c r="E6" s="18">
        <f>D6*(1+E5)</f>
        <v>2821426568.809992</v>
      </c>
      <c r="F6" s="18">
        <f>E6*(1+F5)</f>
        <v>2939189617.143935</v>
      </c>
    </row>
    <row r="7" spans="1:6" x14ac:dyDescent="0.25">
      <c r="A7" t="s">
        <v>5</v>
      </c>
      <c r="B7" s="10">
        <f>Assumptions!B7</f>
        <v>0.10689526599210492</v>
      </c>
      <c r="C7" s="10">
        <f>Assumptions!B7</f>
        <v>0.10689526599210492</v>
      </c>
      <c r="D7" s="10">
        <f>Assumptions!B7</f>
        <v>0.10689526599210492</v>
      </c>
      <c r="E7" s="10">
        <f>Assumptions!B7</f>
        <v>0.10689526599210492</v>
      </c>
      <c r="F7" s="10">
        <f>Assumptions!B7</f>
        <v>0.10689526599210492</v>
      </c>
    </row>
    <row r="8" spans="1:6" x14ac:dyDescent="0.25">
      <c r="A8" t="s">
        <v>44</v>
      </c>
      <c r="B8" s="18">
        <f>B6*B7</f>
        <v>266778400.68907714</v>
      </c>
      <c r="C8" s="18">
        <f>C6*C7</f>
        <v>277913419.4211261</v>
      </c>
      <c r="D8" s="18">
        <f>D6*D7</f>
        <v>289513200.8245263</v>
      </c>
      <c r="E8" s="18">
        <f>E6*E7</f>
        <v>301597143.55013597</v>
      </c>
      <c r="F8" s="18">
        <f>F6*F7</f>
        <v>314185455.92583394</v>
      </c>
    </row>
    <row r="9" spans="1:6" x14ac:dyDescent="0.25">
      <c r="A9" t="s">
        <v>45</v>
      </c>
      <c r="B9" s="18">
        <f>B8*(1-Assumptions!B8)</f>
        <v>200083800.51680785</v>
      </c>
      <c r="C9" s="18">
        <f>C8*(1-Assumptions!B8)</f>
        <v>208435064.5658446</v>
      </c>
      <c r="D9" s="18">
        <f>D8*(1-Assumptions!B8)</f>
        <v>217134900.61839473</v>
      </c>
      <c r="E9" s="18">
        <f>E8*(1-Assumptions!B8)</f>
        <v>226197857.66260198</v>
      </c>
      <c r="F9" s="18">
        <f>F8*(1-Assumptions!B8)</f>
        <v>235639091.94437546</v>
      </c>
    </row>
    <row r="10" spans="1:6" x14ac:dyDescent="0.25">
      <c r="A10" t="s">
        <v>46</v>
      </c>
      <c r="B10" s="18">
        <f>B6*Assumptions!B9</f>
        <v>305011083.3919659</v>
      </c>
      <c r="C10" s="18">
        <f>C6*Assumptions!B9</f>
        <v>317741889.6277016</v>
      </c>
      <c r="D10" s="18">
        <f>D6*Assumptions!B9</f>
        <v>331004064.8406215</v>
      </c>
      <c r="E10" s="18">
        <f>E6*Assumptions!B9</f>
        <v>344819787.7509641</v>
      </c>
      <c r="F10" s="18">
        <f>F6*Assumptions!B9</f>
        <v>359212162.7928366</v>
      </c>
    </row>
    <row r="11" spans="1:6" x14ac:dyDescent="0.25">
      <c r="A11" t="s">
        <v>47</v>
      </c>
      <c r="B11" s="18">
        <f>-B6*Assumptions!B10</f>
        <v>-141907375.79059532</v>
      </c>
      <c r="C11" s="18">
        <f>-C6*Assumptions!B10</f>
        <v>-147830423.8468201</v>
      </c>
      <c r="D11" s="18">
        <f>-D6*Assumptions!B10</f>
        <v>-154000693.00822628</v>
      </c>
      <c r="E11" s="18">
        <f>-E6*Assumptions!B10</f>
        <v>-160428501.99488285</v>
      </c>
      <c r="F11" s="18">
        <f>-F6*Assumptions!B10</f>
        <v>-167124600.21817774</v>
      </c>
    </row>
    <row r="12" spans="1:6" x14ac:dyDescent="0.25">
      <c r="A12" t="s">
        <v>48</v>
      </c>
      <c r="B12" s="18">
        <f>-(B6-Assumptions!B29)*Assumptions!B11</f>
        <v>-6270990.783880549</v>
      </c>
      <c r="C12" s="18">
        <f>-(C6-B6)*Assumptions!B11</f>
        <v>-6532734.611966525</v>
      </c>
      <c r="D12" s="18">
        <f>-(D6-C6)*Assumptions!B11</f>
        <v>-6805403.321606662</v>
      </c>
      <c r="E12" s="18">
        <f>-(E6-D6)*Assumptions!B11</f>
        <v>-7089452.904592035</v>
      </c>
      <c r="F12" s="18">
        <f>-(F6-E6)*Assumptions!B11</f>
        <v>-7385358.385278305</v>
      </c>
    </row>
    <row r="13" spans="1:6" x14ac:dyDescent="0.25">
      <c r="A13" s="19" t="s">
        <v>49</v>
      </c>
      <c r="B13" s="20">
        <f>B9+B10+B11+B12</f>
        <v>356916517.33429796</v>
      </c>
      <c r="C13" s="20">
        <f>C9+C10+C11+C12</f>
        <v>371813795.7347595</v>
      </c>
      <c r="D13" s="20">
        <f>D9+D10+D11+D12</f>
        <v>387332869.1291833</v>
      </c>
      <c r="E13" s="20">
        <f>E9+E10+E11+E12</f>
        <v>403499690.51409125</v>
      </c>
      <c r="F13" s="20">
        <f>F9+F10+F11+F12</f>
        <v>420341296.13375604</v>
      </c>
    </row>
    <row r="14" spans="1:6" x14ac:dyDescent="0.25">
      <c r="A14" t="s">
        <v>50</v>
      </c>
      <c r="B14" s="21">
        <f>1/(1+Assumptions!$B$26)^(1-0.5*Assumptions!$B$32)</f>
        <v>0.9629618386587873</v>
      </c>
      <c r="C14" s="21">
        <f>1/(1+Assumptions!$B$26)^(2-0.5*Assumptions!$B$32)</f>
        <v>0.8929501822726429</v>
      </c>
      <c r="D14" s="21">
        <f>1/(1+Assumptions!$B$26)^(3-0.5*Assumptions!$B$32)</f>
        <v>0.8280286881682755</v>
      </c>
      <c r="E14" s="21">
        <f>1/(1+Assumptions!$B$26)^(4-0.5*Assumptions!$B$32)</f>
        <v>0.7678272786558797</v>
      </c>
      <c r="F14" s="21">
        <f>1/(1+Assumptions!$B$26)^(5-0.5*Assumptions!$B$32)</f>
        <v>0.7120027823580448</v>
      </c>
    </row>
    <row r="15" spans="1:6" x14ac:dyDescent="0.25">
      <c r="A15" s="19" t="s">
        <v>51</v>
      </c>
      <c r="B15" s="20">
        <f>B13*B14</f>
        <v>343696985.7799265</v>
      </c>
      <c r="C15" s="20">
        <f>C13*C14</f>
        <v>332011196.6728367</v>
      </c>
      <c r="D15" s="20">
        <f>D13*D14</f>
        <v>320722727.509492</v>
      </c>
      <c r="E15" s="20">
        <f>E13*E14</f>
        <v>309818069.30592436</v>
      </c>
      <c r="F15" s="20">
        <f>F13*F14</f>
        <v>299284172.38722116</v>
      </c>
    </row>
    <row r="17" spans="1:2" x14ac:dyDescent="0.25">
      <c r="A17" s="22" t="s">
        <v>52</v>
      </c>
      <c r="B17" s="23">
        <f>SUM(B15:F15)</f>
        <v>1605533151.6554008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420341296.13375604</v>
      </c>
    </row>
    <row r="5" spans="1:2" x14ac:dyDescent="0.25">
      <c r="A5" t="s">
        <v>56</v>
      </c>
      <c r="B5" s="18">
        <f>IF(Assumptions!$B$33=0,B4,B4-Forecast!F11-Forecast!F10-Forecast!F12)</f>
        <v>328503954.5676096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0.29579124387841443</v>
      </c>
    </row>
    <row r="7" spans="1:2" x14ac:dyDescent="0.25">
      <c r="A7" t="s">
        <v>58</v>
      </c>
      <c r="B7" s="18">
        <f>-MAX(Forecast!F9,0)*B6</f>
        <v>-97168593.3405314</v>
      </c>
    </row>
    <row r="8" spans="1:2" x14ac:dyDescent="0.25">
      <c r="A8" t="s">
        <v>59</v>
      </c>
      <c r="B8" s="18">
        <f>IF(OR(Assumptions!$B$33=0,Assumptions!B12&lt;=0),B5,MAX(B5+B7,0))</f>
        <v>231335361.2270782</v>
      </c>
    </row>
    <row r="9" spans="1:2" x14ac:dyDescent="0.25">
      <c r="A9" t="s">
        <v>60</v>
      </c>
      <c r="B9" s="18">
        <f>B8*(1+Assumptions!B12)/(Assumptions!B26-Assumptions!B12)</f>
        <v>4440019767.612317</v>
      </c>
    </row>
    <row r="10" spans="1:2" x14ac:dyDescent="0.25">
      <c r="A10" t="s">
        <v>61</v>
      </c>
      <c r="B10" s="18">
        <f>B9/(1+Assumptions!B26)^(5-0.5*Assumptions!B32)</f>
        <v>3161306428.2646894</v>
      </c>
    </row>
    <row r="11" spans="1:2" x14ac:dyDescent="0.25">
      <c r="A11" t="s">
        <v>62</v>
      </c>
      <c r="B11" s="18">
        <f>Forecast!B17+B10</f>
        <v>4766839579.92009</v>
      </c>
    </row>
    <row r="12" spans="1:2" x14ac:dyDescent="0.25">
      <c r="A12" t="s">
        <v>63</v>
      </c>
      <c r="B12" s="18">
        <f>-Assumptions!B30</f>
        <v>-1511929000</v>
      </c>
    </row>
    <row r="13" spans="1:2" x14ac:dyDescent="0.25">
      <c r="A13" t="s">
        <v>64</v>
      </c>
      <c r="B13" s="18">
        <f>B11+B12</f>
        <v>3254910579.9200897</v>
      </c>
    </row>
    <row r="14" spans="1:2" x14ac:dyDescent="0.25">
      <c r="A14" s="19" t="s">
        <v>65</v>
      </c>
      <c r="B14" s="24">
        <f>B13/Assumptions!B31</f>
        <v>14.799253634812867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673397618.7186706</v>
      </c>
    </row>
    <row r="18" spans="1:2" x14ac:dyDescent="0.25">
      <c r="A18" t="s">
        <v>60</v>
      </c>
      <c r="B18" s="18">
        <f>B17*Assumptions!B13</f>
        <v>5881091073.520476</v>
      </c>
    </row>
    <row r="19" spans="1:2" x14ac:dyDescent="0.25">
      <c r="A19" t="s">
        <v>61</v>
      </c>
      <c r="B19" s="18">
        <f>B18/(1+Assumptions!B26)^(5-0.5*Assumptions!B32)</f>
        <v>4187353207.6476398</v>
      </c>
    </row>
    <row r="20" spans="1:2" x14ac:dyDescent="0.25">
      <c r="A20" t="s">
        <v>62</v>
      </c>
      <c r="B20" s="18">
        <f>Forecast!B17+B19</f>
        <v>5792886359.3030405</v>
      </c>
    </row>
    <row r="21" spans="1:2" x14ac:dyDescent="0.25">
      <c r="A21" t="s">
        <v>63</v>
      </c>
      <c r="B21" s="18">
        <f>-Assumptions!B30</f>
        <v>-1511929000</v>
      </c>
    </row>
    <row r="22" spans="1:2" x14ac:dyDescent="0.25">
      <c r="A22" t="s">
        <v>64</v>
      </c>
      <c r="B22" s="18">
        <f>B20+B21</f>
        <v>4280957359.3030405</v>
      </c>
    </row>
    <row r="23" spans="1:2" x14ac:dyDescent="0.25">
      <c r="A23" s="19" t="s">
        <v>65</v>
      </c>
      <c r="B23" s="25">
        <f>B22/Assumptions!B31</f>
        <v>19.464428347429386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11.395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14.799253634812867</v>
      </c>
    </row>
    <row r="29" spans="1:2" x14ac:dyDescent="0.25">
      <c r="A29" s="19" t="s">
        <v>73</v>
      </c>
      <c r="B29" s="12">
        <f>B28/B26-1</f>
        <v>0.29874977049696083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0.058405</v>
      </c>
      <c r="B5" s="31">
        <v>23.020865920951664</v>
      </c>
      <c r="C5" s="31">
        <v>24.22411513819115</v>
      </c>
      <c r="D5" s="31">
        <v>25.767076116767356</v>
      </c>
      <c r="E5" s="31">
        <v>27.829142499350638</v>
      </c>
      <c r="F5" s="31">
        <v>30.743003072956835</v>
      </c>
    </row>
    <row r="6" spans="1:6" x14ac:dyDescent="0.25">
      <c r="A6" s="30">
        <v>0.068405</v>
      </c>
      <c r="B6" s="31">
        <v>17.930010517001424</v>
      </c>
      <c r="C6" s="31">
        <v>18.432548888110777</v>
      </c>
      <c r="D6" s="31">
        <v>19.035751271317178</v>
      </c>
      <c r="E6" s="31">
        <v>19.77893442697621</v>
      </c>
      <c r="F6" s="31">
        <v>20.724954561847014</v>
      </c>
    </row>
    <row r="7" spans="1:6" x14ac:dyDescent="0.25">
      <c r="A7" s="30">
        <v>0.078405</v>
      </c>
      <c r="B7" s="31">
        <v>14.42838363558742</v>
      </c>
      <c r="C7" s="31">
        <v>14.603311444553295</v>
      </c>
      <c r="D7" s="32">
        <v>14.79921390661806</v>
      </c>
      <c r="E7" s="31">
        <v>15.02259075933949</v>
      </c>
      <c r="F7" s="31">
        <v>15.282936666001762</v>
      </c>
    </row>
    <row r="8" spans="1:6" x14ac:dyDescent="0.25">
      <c r="A8" s="30">
        <v>0.088405</v>
      </c>
      <c r="B8" s="31">
        <v>11.977368215333504</v>
      </c>
      <c r="C8" s="31">
        <v>12.03506839325005</v>
      </c>
      <c r="D8" s="31">
        <v>12.09276857116659</v>
      </c>
      <c r="E8" s="31">
        <v>12.150468749083135</v>
      </c>
      <c r="F8" s="31">
        <v>12.20816892699968</v>
      </c>
    </row>
    <row r="9" spans="1:6" x14ac:dyDescent="0.25">
      <c r="A9" s="30">
        <v>0.098405</v>
      </c>
      <c r="B9" s="31">
        <v>10.20758528454334</v>
      </c>
      <c r="C9" s="31">
        <v>10.25733183106742</v>
      </c>
      <c r="D9" s="31">
        <v>10.307078377591498</v>
      </c>
      <c r="E9" s="31">
        <v>10.356824924115575</v>
      </c>
      <c r="F9" s="31">
        <v>10.40657147063965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2395705000</v>
      </c>
      <c r="C5" s="18">
        <v>2409241000</v>
      </c>
      <c r="D5" s="18">
        <v>2260084000</v>
      </c>
      <c r="E5" s="18">
        <v>2119126000</v>
      </c>
      <c r="F5" s="8" t="s">
        <v>84</v>
      </c>
    </row>
    <row r="6" spans="1:6" x14ac:dyDescent="0.25">
      <c r="A6" t="s">
        <v>44</v>
      </c>
      <c r="B6" s="18">
        <v>204778000</v>
      </c>
      <c r="C6" s="18">
        <v>253290000</v>
      </c>
      <c r="D6" s="18">
        <v>250641000</v>
      </c>
      <c r="E6" s="18">
        <v>267163000</v>
      </c>
      <c r="F6" s="8" t="s">
        <v>85</v>
      </c>
    </row>
    <row r="7" spans="1:6" x14ac:dyDescent="0.25">
      <c r="A7" t="s">
        <v>86</v>
      </c>
      <c r="B7" s="18">
        <v>315077000</v>
      </c>
      <c r="C7" s="18">
        <v>302718000</v>
      </c>
      <c r="D7" s="18">
        <v>267637000</v>
      </c>
      <c r="E7" s="18">
        <v>240041000</v>
      </c>
      <c r="F7" s="8" t="s">
        <v>87</v>
      </c>
    </row>
    <row r="8" spans="1:6" x14ac:dyDescent="0.25">
      <c r="A8" t="s">
        <v>88</v>
      </c>
      <c r="B8" s="18">
        <v>118409000</v>
      </c>
      <c r="C8" s="18">
        <v>146421000</v>
      </c>
      <c r="D8" s="18">
        <v>141653000</v>
      </c>
      <c r="E8" s="18">
        <v>115634000</v>
      </c>
      <c r="F8" s="8" t="s">
        <v>89</v>
      </c>
    </row>
    <row r="9" spans="1:6" x14ac:dyDescent="0.25">
      <c r="A9" t="s">
        <v>90</v>
      </c>
      <c r="B9" s="18">
        <v>-2256000</v>
      </c>
      <c r="C9" s="18">
        <v>361000</v>
      </c>
      <c r="D9" s="18">
        <v>8840000</v>
      </c>
      <c r="E9" s="18">
        <v>-12691000</v>
      </c>
      <c r="F9" s="8" t="s">
        <v>91</v>
      </c>
    </row>
    <row r="10" spans="1:6" x14ac:dyDescent="0.25">
      <c r="A10" t="s">
        <v>92</v>
      </c>
      <c r="B10" s="18">
        <v>1820811000</v>
      </c>
      <c r="C10" s="18">
        <v>1726349000</v>
      </c>
      <c r="D10" s="18">
        <v>1517902000</v>
      </c>
      <c r="E10" s="18">
        <v>1504302000</v>
      </c>
      <c r="F10" s="8" t="s">
        <v>93</v>
      </c>
    </row>
    <row r="11" spans="1:6" x14ac:dyDescent="0.25">
      <c r="A11" t="s">
        <v>94</v>
      </c>
      <c r="B11" s="18">
        <v>308882000</v>
      </c>
      <c r="C11" s="18">
        <v>288852000</v>
      </c>
      <c r="D11" s="18">
        <v>193999000</v>
      </c>
      <c r="E11" s="18">
        <v>229538000</v>
      </c>
      <c r="F11" s="8" t="s">
        <v>95</v>
      </c>
    </row>
    <row r="12" spans="1:6" x14ac:dyDescent="0.25">
      <c r="A12" t="s">
        <v>32</v>
      </c>
      <c r="B12" s="34">
        <v>219937482</v>
      </c>
      <c r="C12" s="34">
        <v>225320371</v>
      </c>
      <c r="D12" s="34">
        <v>225746472</v>
      </c>
      <c r="E12" s="34">
        <v>226845503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