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<sst xmlns="http://schemas.openxmlformats.org/spreadsheetml/2006/main" count="112" uniqueCount="100">
  <si>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Amadeus IT Group, S.A. (AMS.MC)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</si>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</sst>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0.13257258347675482</v>
      </c>
    </row>
    <row r="7" spans="1:2" x14ac:dyDescent="0.25">
      <c r="A7" t="s">
        <v>5</v>
      </c>
      <c r="B7" s="6">
        <v>0.25232049831114944</v>
      </c>
    </row>
    <row r="8" spans="1:2" x14ac:dyDescent="0.25">
      <c r="A8" t="s">
        <v>6</v>
      </c>
      <c r="B8" s="6">
        <v>0.20773644717306688</v>
      </c>
    </row>
    <row r="9" spans="1:2" x14ac:dyDescent="0.25">
      <c r="A9" t="s">
        <v>7</v>
      </c>
      <c r="B9" s="6">
        <v>0.12572162352892755</v>
      </c>
    </row>
    <row r="10" spans="1:2" x14ac:dyDescent="0.25">
      <c r="A10" t="s">
        <v>8</v>
      </c>
      <c r="B10" s="6">
        <v>0.12250163354288254</v>
      </c>
    </row>
    <row r="11" spans="1:2" x14ac:dyDescent="0.25">
      <c r="A11" t="s">
        <v>9</v>
      </c>
      <c r="B11" s="6">
        <v>-0.10092790863668807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10.157884103633593</v>
      </c>
    </row>
    <row r="14" spans="1:3" x14ac:dyDescent="0.25">
      <c r="A14" t="s">
        <v>12</v>
      </c>
      <c r="B14" s="6">
        <v>0.1520618068060412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0.72865</v>
      </c>
      <c r="C19" s="8" t="s">
        <v>19</v>
      </c>
    </row>
    <row r="20" spans="1:2" x14ac:dyDescent="0.25">
      <c r="A20" t="s">
        <v>20</v>
      </c>
      <c r="B20" s="10">
        <f>B17+B19*B18</f>
        <v>0.08936225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23090868224</v>
      </c>
    </row>
    <row r="23" spans="1:2" x14ac:dyDescent="0.25">
      <c r="A23" t="s">
        <v>24</v>
      </c>
      <c r="B23" s="11">
        <v>3223600000</v>
      </c>
    </row>
    <row r="24" spans="1:2" x14ac:dyDescent="0.25">
      <c r="A24" t="s">
        <v>25</v>
      </c>
      <c r="B24" s="10">
        <f>B22/(B22+B23)</f>
        <v>0.8774970494345795</v>
      </c>
    </row>
    <row r="25" spans="1:2" x14ac:dyDescent="0.25">
      <c r="A25" t="s">
        <v>26</v>
      </c>
      <c r="B25" s="10">
        <f>1-B24</f>
        <v>0.12250295056542049</v>
      </c>
    </row>
    <row r="26" spans="1:2" x14ac:dyDescent="0.25">
      <c r="A26" t="s">
        <v>27</v>
      </c>
      <c r="B26" s="12">
        <f>B24*B20+B25*B21*(1-B8)</f>
        <v>0.08249140486539844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6517000000</v>
      </c>
      <c r="C29" s="8" t="s">
        <v>30</v>
      </c>
    </row>
    <row r="30" spans="1:2" x14ac:dyDescent="0.25">
      <c r="A30" t="s">
        <v>31</v>
      </c>
      <c r="B30" s="11">
        <v>2236800000</v>
      </c>
    </row>
    <row r="31" spans="1:2" x14ac:dyDescent="0.25">
      <c r="A31" t="s">
        <v>32</v>
      </c>
      <c r="B31" s="13">
        <v>443694486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0.13257258347675482</v>
      </c>
      <c r="C5" s="10">
        <f>Assumptions!B6</f>
        <v>0.13257258347675482</v>
      </c>
      <c r="D5" s="10">
        <f>Assumptions!B6</f>
        <v>0.13257258347675482</v>
      </c>
      <c r="E5" s="10">
        <f>Assumptions!B6</f>
        <v>0.13257258347675482</v>
      </c>
      <c r="F5" s="10">
        <f>Assumptions!B6</f>
        <v>0.13257258347675482</v>
      </c>
    </row>
    <row r="6" spans="1:6" x14ac:dyDescent="0.25">
      <c r="A6" t="s">
        <v>43</v>
      </c>
      <c r="B6" s="18">
        <f>Assumptions!B29*(1+B5)</f>
        <v>7380975526.518011</v>
      </c>
      <c r="C6" s="18">
        <f>B6*(1+C5)</f>
        <v>8359490520.647204</v>
      </c>
      <c r="D6" s="18">
        <f>C6*(1+D5)</f>
        <v>9467729775.518847</v>
      </c>
      <c r="E6" s="18">
        <f>D6*(1+E5)</f>
        <v>10722891171.519176</v>
      </c>
      <c r="F6" s="18">
        <f>E6*(1+F5)</f>
        <v>12144452556.46756</v>
      </c>
    </row>
    <row r="7" spans="1:6" x14ac:dyDescent="0.25">
      <c r="A7" t="s">
        <v>5</v>
      </c>
      <c r="B7" s="10">
        <f>Assumptions!B7</f>
        <v>0.25232049831114944</v>
      </c>
      <c r="C7" s="10">
        <f>Assumptions!B7</f>
        <v>0.25232049831114944</v>
      </c>
      <c r="D7" s="10">
        <f>Assumptions!B7</f>
        <v>0.25232049831114944</v>
      </c>
      <c r="E7" s="10">
        <f>Assumptions!B7</f>
        <v>0.25232049831114944</v>
      </c>
      <c r="F7" s="10">
        <f>Assumptions!B7</f>
        <v>0.25232049831114944</v>
      </c>
    </row>
    <row r="8" spans="1:6" x14ac:dyDescent="0.25">
      <c r="A8" t="s">
        <v>44</v>
      </c>
      <c r="B8" s="18">
        <f>B6*B7</f>
        <v>1862371422.873423</v>
      </c>
      <c r="C8" s="18">
        <f>C6*C7</f>
        <v>2109270813.7970328</v>
      </c>
      <c r="D8" s="18">
        <f>D6*D7</f>
        <v>2388902294.8342223</v>
      </c>
      <c r="E8" s="18">
        <f>E6*E7</f>
        <v>2705605243.7339435</v>
      </c>
      <c r="F8" s="18">
        <f>F6*F7</f>
        <v>3064294320.7640076</v>
      </c>
    </row>
    <row r="9" spans="1:6" x14ac:dyDescent="0.25">
      <c r="A9" t="s">
        <v>45</v>
      </c>
      <c r="B9" s="18">
        <f>B8*(1-Assumptions!B8)</f>
        <v>1475489000.1690488</v>
      </c>
      <c r="C9" s="18">
        <f>C8*(1-Assumptions!B8)</f>
        <v>1671098388.8129935</v>
      </c>
      <c r="D9" s="18">
        <f>D8*(1-Assumptions!B8)</f>
        <v>1892640219.4617746</v>
      </c>
      <c r="E9" s="18">
        <f>E8*(1-Assumptions!B8)</f>
        <v>2143552422.9478343</v>
      </c>
      <c r="F9" s="18">
        <f>F8*(1-Assumptions!B8)</f>
        <v>2427728705.4758863</v>
      </c>
    </row>
    <row r="10" spans="1:6" x14ac:dyDescent="0.25">
      <c r="A10" t="s">
        <v>46</v>
      </c>
      <c r="B10" s="18">
        <f>B6*Assumptions!B9</f>
        <v>927948226.4211252</v>
      </c>
      <c r="C10" s="18">
        <f>C6*Assumptions!B9</f>
        <v>1050968720.1304463</v>
      </c>
      <c r="D10" s="18">
        <f>D6*Assumptions!B9</f>
        <v>1190298358.511398</v>
      </c>
      <c r="E10" s="18">
        <f>E6*Assumptions!B9</f>
        <v>1348099287.0073948</v>
      </c>
      <c r="F10" s="18">
        <f>F6*Assumptions!B9</f>
        <v>1526820292.2691362</v>
      </c>
    </row>
    <row r="11" spans="1:6" x14ac:dyDescent="0.25">
      <c r="A11" t="s">
        <v>47</v>
      </c>
      <c r="B11" s="18">
        <f>-B6*Assumptions!B10</f>
        <v>-904181559.1384939</v>
      </c>
      <c r="C11" s="18">
        <f>-C6*Assumptions!B10</f>
        <v>-1024051244.3655242</v>
      </c>
      <c r="D11" s="18">
        <f>-D6*Assumptions!B10</f>
        <v>-1159812363.4436474</v>
      </c>
      <c r="E11" s="18">
        <f>-E6*Assumptions!B10</f>
        <v>-1313571684.8136528</v>
      </c>
      <c r="F11" s="18">
        <f>-F6*Assumptions!B10</f>
        <v>-1487715276.651312</v>
      </c>
    </row>
    <row r="12" spans="1:6" x14ac:dyDescent="0.25">
      <c r="A12" t="s">
        <v>48</v>
      </c>
      <c r="B12" s="18">
        <f>-(B6-Assumptions!B29)*Assumptions!B11</f>
        <v>87199243.00474429</v>
      </c>
      <c r="C12" s="18">
        <f>-(C6-B6)*Assumptions!B11</f>
        <v>98759471.92710058</v>
      </c>
      <c r="D12" s="18">
        <f>-(D6-C6)*Assumptions!B11</f>
        <v>111852270.26327637</v>
      </c>
      <c r="E12" s="18">
        <f>-(E6-D6)*Assumptions!B11</f>
        <v>126680814.69981916</v>
      </c>
      <c r="F12" s="18">
        <f>-(F6-E6)*Assumptions!B11</f>
        <v>143475217.5815142</v>
      </c>
    </row>
    <row r="13" spans="1:6" x14ac:dyDescent="0.25">
      <c r="A13" s="19" t="s">
        <v>49</v>
      </c>
      <c r="B13" s="20">
        <f>B9+B10+B11+B12</f>
        <v>1586454910.456424</v>
      </c>
      <c r="C13" s="20">
        <f>C9+C10+C11+C12</f>
        <v>1796775336.5050163</v>
      </c>
      <c r="D13" s="20">
        <f>D9+D10+D11+D12</f>
        <v>2034978484.7928016</v>
      </c>
      <c r="E13" s="20">
        <f>E9+E10+E11+E12</f>
        <v>2304760839.841395</v>
      </c>
      <c r="F13" s="20">
        <f>F9+F10+F11+F12</f>
        <v>2610308938.6752253</v>
      </c>
    </row>
    <row r="14" spans="1:6" x14ac:dyDescent="0.25">
      <c r="A14" t="s">
        <v>50</v>
      </c>
      <c r="B14" s="21">
        <f>1/(1+Assumptions!$B$26)^(1-0.5*Assumptions!$B$32)</f>
        <v>0.9611424784451978</v>
      </c>
      <c r="C14" s="21">
        <f>1/(1+Assumptions!$B$26)^(2-0.5*Assumptions!$B$32)</f>
        <v>0.8878984850366645</v>
      </c>
      <c r="D14" s="21">
        <f>1/(1+Assumptions!$B$26)^(3-0.5*Assumptions!$B$32)</f>
        <v>0.8202360601164029</v>
      </c>
      <c r="E14" s="21">
        <f>1/(1+Assumptions!$B$26)^(4-0.5*Assumptions!$B$32)</f>
        <v>0.7577298594979557</v>
      </c>
      <c r="F14" s="21">
        <f>1/(1+Assumptions!$B$26)^(5-0.5*Assumptions!$B$32)</f>
        <v>0.6999869524064951</v>
      </c>
    </row>
    <row r="15" spans="1:6" x14ac:dyDescent="0.25">
      <c r="A15" s="19" t="s">
        <v>51</v>
      </c>
      <c r="B15" s="20">
        <f>B13*B14</f>
        <v>1524809204.5776417</v>
      </c>
      <c r="C15" s="20">
        <f>C13*C14</f>
        <v>1595354099.234047</v>
      </c>
      <c r="D15" s="20">
        <f>D13*D14</f>
        <v>1669162734.788095</v>
      </c>
      <c r="E15" s="20">
        <f>E13*E14</f>
        <v>1746386107.3494105</v>
      </c>
      <c r="F15" s="20">
        <f>F13*F14</f>
        <v>1827182198.8227036</v>
      </c>
    </row>
    <row r="17" spans="1:2" x14ac:dyDescent="0.25">
      <c r="A17" s="22" t="s">
        <v>52</v>
      </c>
      <c r="B17" s="23">
        <f>SUM(B15:F15)</f>
        <v>8362894344.771897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2610308938.6752253</v>
      </c>
    </row>
    <row r="5" spans="1:2" x14ac:dyDescent="0.25">
      <c r="A5" t="s">
        <v>56</v>
      </c>
      <c r="B5" s="18">
        <f>IF(Assumptions!$B$33=0,B4,B4-Forecast!F11-Forecast!F10-Forecast!F12)</f>
        <v>2427728705.4758863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0.1644068324920547</v>
      </c>
    </row>
    <row r="7" spans="1:2" x14ac:dyDescent="0.25">
      <c r="A7" t="s">
        <v>58</v>
      </c>
      <c r="B7" s="18">
        <f>-MAX(Forecast!F9,0)*B6</f>
        <v>-399135186.61732686</v>
      </c>
    </row>
    <row r="8" spans="1:2" x14ac:dyDescent="0.25">
      <c r="A8" t="s">
        <v>59</v>
      </c>
      <c r="B8" s="18">
        <f>IF(OR(Assumptions!$B$33=0,Assumptions!B12&lt;=0),B5,MAX(B5+B7,0))</f>
        <v>2028593518.8585596</v>
      </c>
    </row>
    <row r="9" spans="1:2" x14ac:dyDescent="0.25">
      <c r="A9" t="s">
        <v>60</v>
      </c>
      <c r="B9" s="18">
        <f>B8*(1+Assumptions!B12)/(Assumptions!B26-Assumptions!B12)</f>
        <v>36167290774.998405</v>
      </c>
    </row>
    <row r="10" spans="1:2" x14ac:dyDescent="0.25">
      <c r="A10" t="s">
        <v>61</v>
      </c>
      <c r="B10" s="18">
        <f>B9/(1+Assumptions!B26)^(5-0.5*Assumptions!B32)</f>
        <v>25316631646.39068</v>
      </c>
    </row>
    <row r="11" spans="1:2" x14ac:dyDescent="0.25">
      <c r="A11" t="s">
        <v>62</v>
      </c>
      <c r="B11" s="18">
        <f>Forecast!B17+B10</f>
        <v>33679525991.162575</v>
      </c>
    </row>
    <row r="12" spans="1:2" x14ac:dyDescent="0.25">
      <c r="A12" t="s">
        <v>63</v>
      </c>
      <c r="B12" s="18">
        <f>-Assumptions!B30</f>
        <v>-2236800000</v>
      </c>
    </row>
    <row r="13" spans="1:2" x14ac:dyDescent="0.25">
      <c r="A13" t="s">
        <v>64</v>
      </c>
      <c r="B13" s="18">
        <f>B11+B12</f>
        <v>31442725991.162575</v>
      </c>
    </row>
    <row r="14" spans="1:2" x14ac:dyDescent="0.25">
      <c r="A14" s="19" t="s">
        <v>65</v>
      </c>
      <c r="B14" s="24">
        <f>B13/Assumptions!B31</f>
        <v>70.86571274442787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4591114613.033144</v>
      </c>
    </row>
    <row r="18" spans="1:2" x14ac:dyDescent="0.25">
      <c r="A18" t="s">
        <v>60</v>
      </c>
      <c r="B18" s="18">
        <f>B17*Assumptions!B13</f>
        <v>46636010145.68927</v>
      </c>
    </row>
    <row r="19" spans="1:2" x14ac:dyDescent="0.25">
      <c r="A19" t="s">
        <v>61</v>
      </c>
      <c r="B19" s="18">
        <f>B18/(1+Assumptions!B26)^(5-0.5*Assumptions!B32)</f>
        <v>32644598614.27942</v>
      </c>
    </row>
    <row r="20" spans="1:2" x14ac:dyDescent="0.25">
      <c r="A20" t="s">
        <v>62</v>
      </c>
      <c r="B20" s="18">
        <f>Forecast!B17+B19</f>
        <v>41007492959.051315</v>
      </c>
    </row>
    <row r="21" spans="1:2" x14ac:dyDescent="0.25">
      <c r="A21" t="s">
        <v>63</v>
      </c>
      <c r="B21" s="18">
        <f>-Assumptions!B30</f>
        <v>-2236800000</v>
      </c>
    </row>
    <row r="22" spans="1:2" x14ac:dyDescent="0.25">
      <c r="A22" t="s">
        <v>64</v>
      </c>
      <c r="B22" s="18">
        <f>B20+B21</f>
        <v>38770692959.051315</v>
      </c>
    </row>
    <row r="23" spans="1:2" x14ac:dyDescent="0.25">
      <c r="A23" s="19" t="s">
        <v>65</v>
      </c>
      <c r="B23" s="25">
        <f>B22/Assumptions!B31</f>
        <v>87.3815072812316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70.86571274442787</v>
      </c>
    </row>
    <row r="29" spans="1:2" x14ac:dyDescent="0.25">
      <c r="A29" s="19" t="s">
        <v>73</v>
      </c>
      <c r="B29" s="12">
        <f>B28/B26-1</f>
        <v>0.2889362085199685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0.062491</v>
      </c>
      <c r="B5" s="31">
        <v>94.9890667228181</v>
      </c>
      <c r="C5" s="31">
        <v>101.58533438689037</v>
      </c>
      <c r="D5" s="31">
        <v>109.90449686938807</v>
      </c>
      <c r="E5" s="31">
        <v>120.74195665950452</v>
      </c>
      <c r="F5" s="31">
        <v>135.47178016494703</v>
      </c>
    </row>
    <row r="6" spans="1:6" x14ac:dyDescent="0.25">
      <c r="A6" s="30">
        <v>0.072491</v>
      </c>
      <c r="B6" s="31">
        <v>77.81608015677645</v>
      </c>
      <c r="C6" s="31">
        <v>81.66066519961765</v>
      </c>
      <c r="D6" s="31">
        <v>86.28714071290187</v>
      </c>
      <c r="E6" s="31">
        <v>91.97152649038883</v>
      </c>
      <c r="F6" s="31">
        <v>99.13708822152509</v>
      </c>
    </row>
    <row r="7" spans="1:6" x14ac:dyDescent="0.25">
      <c r="A7" s="30">
        <v>0.082491</v>
      </c>
      <c r="B7" s="31">
        <v>65.72566563296134</v>
      </c>
      <c r="C7" s="31">
        <v>68.10037159140872</v>
      </c>
      <c r="D7" s="32">
        <v>70.86622886015093</v>
      </c>
      <c r="E7" s="31">
        <v>74.13501411813147</v>
      </c>
      <c r="F7" s="31">
        <v>78.06557682816597</v>
      </c>
    </row>
    <row r="8" spans="1:6" x14ac:dyDescent="0.25">
      <c r="A8" s="30">
        <v>0.092491</v>
      </c>
      <c r="B8" s="31">
        <v>56.75063995936593</v>
      </c>
      <c r="C8" s="31">
        <v>58.27138764439713</v>
      </c>
      <c r="D8" s="31">
        <v>59.9995577532458</v>
      </c>
      <c r="E8" s="31">
        <v>61.98493883717952</v>
      </c>
      <c r="F8" s="31">
        <v>64.29463991545829</v>
      </c>
    </row>
    <row r="9" spans="1:6" x14ac:dyDescent="0.25">
      <c r="A9" s="30">
        <v>0.102491</v>
      </c>
      <c r="B9" s="31">
        <v>49.82315993729365</v>
      </c>
      <c r="C9" s="31">
        <v>50.81737079236241</v>
      </c>
      <c r="D9" s="31">
        <v>51.924915086621574</v>
      </c>
      <c r="E9" s="31">
        <v>53.16924402901925</v>
      </c>
      <c r="F9" s="31">
        <v>54.58075826144958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6517000000</v>
      </c>
      <c r="C5" s="18">
        <v>6141700000</v>
      </c>
      <c r="D5" s="18">
        <v>5441200000</v>
      </c>
      <c r="E5" s="18">
        <v>4485900000</v>
      </c>
      <c r="F5" s="8" t="s">
        <v>84</v>
      </c>
    </row>
    <row r="6" spans="1:6" x14ac:dyDescent="0.25">
      <c r="A6" t="s">
        <v>44</v>
      </c>
      <c r="B6" s="18">
        <v>1758400000</v>
      </c>
      <c r="C6" s="18">
        <v>1627600000</v>
      </c>
      <c r="D6" s="18">
        <v>1413900000</v>
      </c>
      <c r="E6" s="18">
        <v>962700000</v>
      </c>
      <c r="F6" s="8" t="s">
        <v>85</v>
      </c>
    </row>
    <row r="7" spans="1:6" x14ac:dyDescent="0.25">
      <c r="A7" t="s">
        <v>86</v>
      </c>
      <c r="B7" s="18">
        <v>735000000</v>
      </c>
      <c r="C7" s="18">
        <v>700200000</v>
      </c>
      <c r="D7" s="18">
        <v>680400000</v>
      </c>
      <c r="E7" s="18">
        <v>677600000</v>
      </c>
      <c r="F7" s="8" t="s">
        <v>87</v>
      </c>
    </row>
    <row r="8" spans="1:6" x14ac:dyDescent="0.25">
      <c r="A8" t="s">
        <v>88</v>
      </c>
      <c r="B8" s="18">
        <v>814600000</v>
      </c>
      <c r="C8" s="18">
        <v>788100000</v>
      </c>
      <c r="D8" s="18">
        <v>600500000</v>
      </c>
      <c r="E8" s="18">
        <v>566700000</v>
      </c>
      <c r="F8" s="8" t="s">
        <v>89</v>
      </c>
    </row>
    <row r="9" spans="1:6" x14ac:dyDescent="0.25">
      <c r="A9" t="s">
        <v>90</v>
      </c>
      <c r="B9" s="18">
        <v>-150100000</v>
      </c>
      <c r="C9" s="18">
        <v>-70700000</v>
      </c>
      <c r="D9" s="18">
        <v>34200000</v>
      </c>
      <c r="E9" s="18">
        <v>83900000</v>
      </c>
      <c r="F9" s="8" t="s">
        <v>91</v>
      </c>
    </row>
    <row r="10" spans="1:6" x14ac:dyDescent="0.25">
      <c r="A10" t="s">
        <v>92</v>
      </c>
      <c r="B10" s="18">
        <v>3223600000</v>
      </c>
      <c r="C10" s="18">
        <v>3375700000</v>
      </c>
      <c r="D10" s="18">
        <v>3308500000</v>
      </c>
      <c r="E10" s="18">
        <v>4411200000</v>
      </c>
      <c r="F10" s="8" t="s">
        <v>93</v>
      </c>
    </row>
    <row r="11" spans="1:6" x14ac:dyDescent="0.25">
      <c r="A11" t="s">
        <v>94</v>
      </c>
      <c r="B11" s="18">
        <v>986800000</v>
      </c>
      <c r="C11" s="18">
        <v>1132200000</v>
      </c>
      <c r="D11" s="18">
        <v>1065000000</v>
      </c>
      <c r="E11" s="18">
        <v>1994800000</v>
      </c>
      <c r="F11" s="8" t="s">
        <v>95</v>
      </c>
    </row>
    <row r="12" spans="1:6" x14ac:dyDescent="0.25">
      <c r="A12" t="s">
        <v>32</v>
      </c>
      <c r="B12" s="34">
        <v>443694486</v>
      </c>
      <c r="C12" s="34">
        <v>452096083</v>
      </c>
      <c r="D12" s="34">
        <v>462931802</v>
      </c>
      <c r="E12" s="34">
        <v>465252027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