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<sst xmlns="http://schemas.openxmlformats.org/spreadsheetml/2006/main" count="119" uniqueCount="106">
  <si>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American Tower Corporation (AMT)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</si>
  <si>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</si>
  <si>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</si>
  <si>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</si>
  <si>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</si>
  <si>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</si>
  <si>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</si>
  <si>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</si>
  <si>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</si>
  <si>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</si>
  <si>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</si>
  <si>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</si>
  <si>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</si>
  <si>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</si>
  <si>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</si>
  <si>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</si>
  <si>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</si>
  <si>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</si>
  <si>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</si>
  <si>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</si>
  <si>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</si>
  <si>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</si>
  <si>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</si>
  <si>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</si>
  <si>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3.6x interest cover. Book interest / average debt was lower, at 3.1%.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</si>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</sst>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0.03737071284970783</v>
      </c>
    </row>
    <row r="7" spans="1:2" x14ac:dyDescent="0.25">
      <c r="A7" t="s">
        <v>4</v>
      </c>
      <c r="B7" s="5">
        <v>0.39346323656409954</v>
      </c>
    </row>
    <row r="8" spans="1:2" x14ac:dyDescent="0.25">
      <c r="A8" t="s">
        <v>5</v>
      </c>
      <c r="B8" s="5">
        <v>0.08021371042698755</v>
      </c>
    </row>
    <row r="9" spans="1:2" x14ac:dyDescent="0.25">
      <c r="A9" t="s">
        <v>6</v>
      </c>
      <c r="B9" s="5">
        <v>0.2644316138336646</v>
      </c>
    </row>
    <row r="10" spans="1:3" x14ac:dyDescent="0.25">
      <c r="A10" t="s">
        <v>7</v>
      </c>
      <c r="B10" s="5">
        <v>0.1721764846439835</v>
      </c>
      <c r="C10" s="6" t="s">
        <v>8</v>
      </c>
    </row>
    <row r="11" spans="1:2" x14ac:dyDescent="0.25">
      <c r="A11" t="s">
        <v>9</v>
      </c>
      <c r="B11" s="5">
        <v>0.03313458764006689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18.731655325644116</v>
      </c>
    </row>
    <row r="14" spans="1:3" x14ac:dyDescent="0.25">
      <c r="A14" t="s">
        <v>12</v>
      </c>
      <c r="B14" s="5">
        <v>0.0909033101662168</v>
      </c>
      <c r="C14" s="6" t="s">
        <v>13</v>
      </c>
    </row>
    <row r="15" spans="1:3" x14ac:dyDescent="0.25">
      <c r="A15" t="s">
        <v>14</v>
      </c>
      <c r="B15" s="5">
        <v>0.2644316138336646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0.92295</v>
      </c>
      <c r="C19" s="6" t="s">
        <v>21</v>
      </c>
    </row>
    <row r="20" spans="1:2" x14ac:dyDescent="0.25">
      <c r="A20" t="s">
        <v>22</v>
      </c>
      <c r="B20" s="9">
        <f>B17+B19*B18</f>
        <v>0.087980785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87085522944</v>
      </c>
    </row>
    <row r="23" spans="1:2" x14ac:dyDescent="0.25">
      <c r="A23" t="s">
        <v>26</v>
      </c>
      <c r="B23" s="10">
        <v>44963900000</v>
      </c>
    </row>
    <row r="24" spans="1:2" x14ac:dyDescent="0.25">
      <c r="A24" t="s">
        <v>27</v>
      </c>
      <c r="B24" s="9">
        <f>B22/(B22+B23)</f>
        <v>0.659491885708062</v>
      </c>
    </row>
    <row r="25" spans="1:2" x14ac:dyDescent="0.25">
      <c r="A25" t="s">
        <v>28</v>
      </c>
      <c r="B25" s="9">
        <f>1-B24</f>
        <v>0.34050811429193795</v>
      </c>
    </row>
    <row r="26" spans="1:2" x14ac:dyDescent="0.25">
      <c r="A26" t="s">
        <v>29</v>
      </c>
      <c r="B26" s="11">
        <f>B24*B20+B25*B21*(1-B8)</f>
        <v>0.07613779496534026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10644600000</v>
      </c>
      <c r="C29" s="6" t="s">
        <v>32</v>
      </c>
    </row>
    <row r="30" spans="1:2" x14ac:dyDescent="0.25">
      <c r="A30" t="s">
        <v>33</v>
      </c>
      <c r="B30" s="10">
        <v>43489100000</v>
      </c>
    </row>
    <row r="31" spans="1:2" x14ac:dyDescent="0.25">
      <c r="A31" t="s">
        <v>34</v>
      </c>
      <c r="B31" s="12">
        <v>468757000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0.03737071284970783</v>
      </c>
      <c r="C5" s="5">
        <v>0.03525180674347994</v>
      </c>
      <c r="D5" s="5">
        <v>0.03397033090054495</v>
      </c>
      <c r="E5" s="5">
        <v>0.032688855057609954</v>
      </c>
      <c r="F5" s="5">
        <v>0.031407379214674964</v>
      </c>
      <c r="G5" s="5">
        <v>0.03012590337173997</v>
      </c>
      <c r="H5" s="5">
        <v>0.028844427528804978</v>
      </c>
      <c r="I5" s="5">
        <v>0.027562951685869988</v>
      </c>
      <c r="J5" s="5">
        <v>0.026281475842934995</v>
      </c>
      <c r="K5" s="5">
        <v>0.025</v>
      </c>
    </row>
    <row r="6" spans="1:11" x14ac:dyDescent="0.25">
      <c r="A6" t="s">
        <v>50</v>
      </c>
      <c r="B6" s="18">
        <f>Assumptions!B29*(1+B5)</f>
        <v>11042396290</v>
      </c>
      <c r="C6" s="18">
        <f>B6*(1+C5)</f>
        <v>11431660710</v>
      </c>
      <c r="D6" s="18">
        <f>C6*(1+D5)</f>
        <v>11819998007.061459</v>
      </c>
      <c r="E6" s="18">
        <f>D6*(1+E5)</f>
        <v>12206380208.695528</v>
      </c>
      <c r="F6" s="18">
        <f>E6*(1+F5)</f>
        <v>12589750620.748531</v>
      </c>
      <c r="G6" s="18">
        <f>F6*(1+G5)</f>
        <v>12969028231.423506</v>
      </c>
      <c r="H6" s="18">
        <f>G6*(1+H5)</f>
        <v>13343112426.363827</v>
      </c>
      <c r="I6" s="18">
        <f>H6*(1+I5)</f>
        <v>13710887989.510824</v>
      </c>
      <c r="J6" s="18">
        <f>I6*(1+J5)</f>
        <v>14071230360.992342</v>
      </c>
      <c r="K6" s="18">
        <f>J6*(1+K5)</f>
        <v>14423011120.017149</v>
      </c>
    </row>
    <row r="7" spans="1:11" x14ac:dyDescent="0.25">
      <c r="A7" t="s">
        <v>4</v>
      </c>
      <c r="B7" s="9">
        <f>Assumptions!B7</f>
        <v>0.39346323656409954</v>
      </c>
      <c r="C7" s="9">
        <f>Assumptions!B7</f>
        <v>0.39346323656409954</v>
      </c>
      <c r="D7" s="9">
        <f>Assumptions!B7</f>
        <v>0.39346323656409954</v>
      </c>
      <c r="E7" s="9">
        <f>Assumptions!B7</f>
        <v>0.39346323656409954</v>
      </c>
      <c r="F7" s="9">
        <f>Assumptions!B7</f>
        <v>0.39346323656409954</v>
      </c>
      <c r="G7" s="9">
        <f>Assumptions!B7</f>
        <v>0.39346323656409954</v>
      </c>
      <c r="H7" s="9">
        <f>Assumptions!B7</f>
        <v>0.39346323656409954</v>
      </c>
      <c r="I7" s="9">
        <f>Assumptions!B7</f>
        <v>0.39346323656409954</v>
      </c>
      <c r="J7" s="9">
        <f>Assumptions!B7</f>
        <v>0.39346323656409954</v>
      </c>
      <c r="K7" s="9">
        <f>Assumptions!B7</f>
        <v>0.39346323656409954</v>
      </c>
    </row>
    <row r="8" spans="1:11" x14ac:dyDescent="0.25">
      <c r="A8" t="s">
        <v>51</v>
      </c>
      <c r="B8" s="18">
        <f>B6*B7</f>
        <v>4344776983.686805</v>
      </c>
      <c r="C8" s="18">
        <f>C6*C7</f>
        <v>4497938222.259253</v>
      </c>
      <c r="D8" s="18">
        <f>D6*D7</f>
        <v>4650734672.039608</v>
      </c>
      <c r="E8" s="18">
        <f>E6*E7</f>
        <v>4802761863.645311</v>
      </c>
      <c r="F8" s="18">
        <f>F6*F7</f>
        <v>4953604026.774598</v>
      </c>
      <c r="G8" s="18">
        <f>G6*G7</f>
        <v>5102835823.027072</v>
      </c>
      <c r="H8" s="18">
        <f>H6*H7</f>
        <v>5250024201.115767</v>
      </c>
      <c r="I8" s="18">
        <f>I6*I7</f>
        <v>5394730364.520768</v>
      </c>
      <c r="J8" s="18">
        <f>J6*J7</f>
        <v>5536511840.275069</v>
      </c>
      <c r="K8" s="18">
        <f>K6*K7</f>
        <v>5674924636.281946</v>
      </c>
    </row>
    <row r="9" spans="1:11" x14ac:dyDescent="0.25">
      <c r="A9" t="s">
        <v>52</v>
      </c>
      <c r="B9" s="18">
        <f>B8*(1-Assumptions!B8)</f>
        <v>3996266300.847511</v>
      </c>
      <c r="C9" s="18">
        <f>C8*(1-Assumptions!B8)</f>
        <v>4137141908.1804695</v>
      </c>
      <c r="D9" s="18">
        <f>D8*(1-Assumptions!B8)</f>
        <v>4277681987.783872</v>
      </c>
      <c r="E9" s="18">
        <f>E8*(1-Assumptions!B8)</f>
        <v>4417514514.265087</v>
      </c>
      <c r="F9" s="18">
        <f>F8*(1-Assumptions!B8)</f>
        <v>4556257067.800941</v>
      </c>
      <c r="G9" s="18">
        <f>G8*(1-Assumptions!B8)</f>
        <v>4693518427.962319</v>
      </c>
      <c r="H9" s="18">
        <f>H8*(1-Assumptions!B8)</f>
        <v>4828900280.11279</v>
      </c>
      <c r="I9" s="18">
        <f>I8*(1-Assumptions!B8)</f>
        <v>4961999025.229423</v>
      </c>
      <c r="J9" s="18">
        <f>J8*(1-Assumptions!B8)</f>
        <v>5092407682.743657</v>
      </c>
      <c r="K9" s="18">
        <f>K8*(1-Assumptions!B8)</f>
        <v>5219717874.812248</v>
      </c>
    </row>
    <row r="10" spans="1:11" x14ac:dyDescent="0.25">
      <c r="A10" t="s">
        <v>53</v>
      </c>
      <c r="B10" s="18">
        <f>B6*Assumptions!B9</f>
        <v>2919958671.5555706</v>
      </c>
      <c r="C10" s="18">
        <f>C6*Assumptions!B9</f>
        <v>3022892490.344196</v>
      </c>
      <c r="D10" s="18">
        <f>D6*Assumptions!B9</f>
        <v>3125581148.5179605</v>
      </c>
      <c r="E10" s="18">
        <f>E6*Assumptions!B9</f>
        <v>3227752817.6526623</v>
      </c>
      <c r="F10" s="18">
        <f>F6*Assumptions!B9</f>
        <v>3329128074.4079146</v>
      </c>
      <c r="G10" s="18">
        <f>G6*Assumptions!B9</f>
        <v>3429421065.0896745</v>
      </c>
      <c r="H10" s="18">
        <f>H6*Assumptions!B9</f>
        <v>3528340752.467411</v>
      </c>
      <c r="I10" s="18">
        <f>I6*Assumptions!B9</f>
        <v>3625592238.158956</v>
      </c>
      <c r="J10" s="18">
        <f>J6*Assumptions!B9</f>
        <v>3720878152.982464</v>
      </c>
      <c r="K10" s="18">
        <f>K6*Assumptions!B9</f>
        <v>3813900106.807025</v>
      </c>
    </row>
    <row r="11" spans="1:11" x14ac:dyDescent="0.25">
      <c r="A11" t="s">
        <v>54</v>
      </c>
      <c r="B11" s="18">
        <f>-B6*B19</f>
        <v>-1901240975.2579653</v>
      </c>
      <c r="C11" s="18">
        <f>-C6*C19</f>
        <v>-2211864900.263714</v>
      </c>
      <c r="D11" s="18">
        <f>-D6*D19</f>
        <v>-2538879660.3112135</v>
      </c>
      <c r="E11" s="18">
        <f>-E6*E19</f>
        <v>-2881983277.023216</v>
      </c>
      <c r="F11" s="18">
        <f>-F6*F19</f>
        <v>-3240778756.7850833</v>
      </c>
      <c r="G11" s="18">
        <f>-G6*G19</f>
        <v>-3614772258.0427036</v>
      </c>
      <c r="H11" s="18">
        <f>-H6*H19</f>
        <v>-4003371915.0113864</v>
      </c>
      <c r="I11" s="18">
        <f>-I6*I19</f>
        <v>-4405887356.069418</v>
      </c>
      <c r="J11" s="18">
        <f>-J6*J19</f>
        <v>-4821529949.615121</v>
      </c>
      <c r="K11" s="18">
        <f>-K6*K19</f>
        <v>-5249413804.071731</v>
      </c>
    </row>
    <row r="12" spans="1:11" x14ac:dyDescent="0.25">
      <c r="A12" t="s">
        <v>55</v>
      </c>
      <c r="B12" s="18">
        <f>-(B6-Assumptions!B29)*Assumptions!B11</f>
        <v>-13180816.033898463</v>
      </c>
      <c r="C12" s="18">
        <f>-(C6-B6)*Assumptions!B11</f>
        <v>-12898116.039649807</v>
      </c>
      <c r="D12" s="18">
        <f>-(D6-C6)*Assumptions!B11</f>
        <v>-12867396.203389589</v>
      </c>
      <c r="E12" s="18">
        <f>-(E6-D6)*Assumptions!B11</f>
        <v>-12802614.92260607</v>
      </c>
      <c r="F12" s="18">
        <f>-(F6-E6)*Assumptions!B11</f>
        <v>-12702820.516778793</v>
      </c>
      <c r="G12" s="18">
        <f>-(G6-F6)*Assumptions!B11</f>
        <v>-12567207.23082511</v>
      </c>
      <c r="H12" s="18">
        <f>-(H6-G6)*Assumptions!B11</f>
        <v>-12395125.542013932</v>
      </c>
      <c r="I12" s="18">
        <f>-(I6-H6)*Assumptions!B11</f>
        <v>-12186091.62896914</v>
      </c>
      <c r="J12" s="18">
        <f>-(J6-I6)*Assumptions!B11</f>
        <v>-11939795.88828389</v>
      </c>
      <c r="K12" s="18">
        <f>-(K6-J6)*Assumptions!B11</f>
        <v>-11656110.389996719</v>
      </c>
    </row>
    <row r="13" spans="1:11" x14ac:dyDescent="0.25">
      <c r="A13" s="19" t="s">
        <v>56</v>
      </c>
      <c r="B13" s="20">
        <f>B9+B10+B11+B12</f>
        <v>5001803181.111218</v>
      </c>
      <c r="C13" s="20">
        <f>C9+C10+C11+C12</f>
        <v>4935271382.221302</v>
      </c>
      <c r="D13" s="20">
        <f>D9+D10+D11+D12</f>
        <v>4851516079.78723</v>
      </c>
      <c r="E13" s="20">
        <f>E9+E10+E11+E12</f>
        <v>4750481439.971927</v>
      </c>
      <c r="F13" s="20">
        <f>F9+F10+F11+F12</f>
        <v>4631903564.906994</v>
      </c>
      <c r="G13" s="20">
        <f>G9+G10+G11+G12</f>
        <v>4495600027.778465</v>
      </c>
      <c r="H13" s="20">
        <f>H9+H10+H11+H12</f>
        <v>4341473992.026801</v>
      </c>
      <c r="I13" s="20">
        <f>I9+I10+I11+I12</f>
        <v>4169517815.689991</v>
      </c>
      <c r="J13" s="20">
        <f>J9+J10+J11+J12</f>
        <v>3979816090.2227154</v>
      </c>
      <c r="K13" s="20">
        <f>K9+K10+K11+K12</f>
        <v>3772548067.157547</v>
      </c>
    </row>
    <row r="14" spans="1:11" x14ac:dyDescent="0.25">
      <c r="A14" t="s">
        <v>57</v>
      </c>
      <c r="B14" s="21">
        <f>1/(1+Assumptions!$B$26)^(1-0.5*Assumptions!$B$32)</f>
        <v>0.9639756366381678</v>
      </c>
      <c r="C14" s="21">
        <f>1/(1+Assumptions!$B$26)^(2-0.5*Assumptions!$B$32)</f>
        <v>0.8957734233925079</v>
      </c>
      <c r="D14" s="21">
        <f>1/(1+Assumptions!$B$26)^(3-0.5*Assumptions!$B$32)</f>
        <v>0.83239658302435</v>
      </c>
      <c r="E14" s="21">
        <f>1/(1+Assumptions!$B$26)^(4-0.5*Assumptions!$B$32)</f>
        <v>0.7735037157125026</v>
      </c>
      <c r="F14" s="21">
        <f>1/(1+Assumptions!$B$26)^(5-0.5*Assumptions!$B$32)</f>
        <v>0.7187775760049532</v>
      </c>
      <c r="G14" s="21">
        <f>1/(1+Assumptions!$B$26)^(6-0.5*Assumptions!$B$32)</f>
        <v>0.6679233638737715</v>
      </c>
      <c r="H14" s="21">
        <f>1/(1+Assumptions!$B$26)^(7-0.5*Assumptions!$B$32)</f>
        <v>0.6206671366795399</v>
      </c>
      <c r="I14" s="21">
        <f>1/(1+Assumptions!$B$26)^(8-0.5*Assumptions!$B$32)</f>
        <v>0.5767543334908426</v>
      </c>
      <c r="J14" s="21">
        <f>1/(1+Assumptions!$B$26)^(9-0.5*Assumptions!$B$32)</f>
        <v>0.5359484038095869</v>
      </c>
      <c r="K14" s="21">
        <f>1/(1+Assumptions!$B$26)^(10-0.5*Assumptions!$B$32)</f>
        <v>0.4980295333153394</v>
      </c>
    </row>
    <row r="15" spans="1:11" x14ac:dyDescent="0.25">
      <c r="A15" s="19" t="s">
        <v>58</v>
      </c>
      <c r="B15" s="20">
        <f>B13*B14</f>
        <v>4821616405.850499</v>
      </c>
      <c r="C15" s="20">
        <f>C13*C14</f>
        <v>4420884941.4234495</v>
      </c>
      <c r="D15" s="20">
        <f>D13*D14</f>
        <v>4038385407.30258</v>
      </c>
      <c r="E15" s="20">
        <f>E13*E14</f>
        <v>3674515045.241565</v>
      </c>
      <c r="F15" s="20">
        <f>F13*F14</f>
        <v>3329308416.67255</v>
      </c>
      <c r="G15" s="20">
        <f>G13*G14</f>
        <v>3002716293.184813</v>
      </c>
      <c r="H15" s="20">
        <f>H13*H14</f>
        <v>2694610231.599966</v>
      </c>
      <c r="I15" s="20">
        <f>I13*I14</f>
        <v>2404787468.7664747</v>
      </c>
      <c r="J15" s="20">
        <f>J13*J14</f>
        <v>2132976081.010575</v>
      </c>
      <c r="K15" s="20">
        <f>K13*K14</f>
        <v>1878840353.2961588</v>
      </c>
    </row>
    <row r="17" spans="1:2" x14ac:dyDescent="0.25">
      <c r="A17" s="22" t="s">
        <v>59</v>
      </c>
      <c r="B17" s="23">
        <f>SUM(B15:K15)</f>
        <v>32398640644.348637</v>
      </c>
    </row>
    <row r="19" spans="1:11" x14ac:dyDescent="0.25">
      <c r="A19" t="s">
        <v>7</v>
      </c>
      <c r="B19" s="9">
        <f>Assumptions!$B$10+($B$20-Assumptions!$B$10)*0/9</f>
        <v>0.1721764846439835</v>
      </c>
      <c r="C19" s="9">
        <f>Assumptions!$B$10+($B$20-Assumptions!$B$10)*1/9</f>
        <v>0.19348587719445304</v>
      </c>
      <c r="D19" s="9">
        <f>Assumptions!$B$10+($B$20-Assumptions!$B$10)*2/9</f>
        <v>0.21479526974492258</v>
      </c>
      <c r="E19" s="9">
        <f>Assumptions!$B$10+($B$20-Assumptions!$B$10)*3/9</f>
        <v>0.23610466229539212</v>
      </c>
      <c r="F19" s="9">
        <f>Assumptions!$B$10+($B$20-Assumptions!$B$10)*4/9</f>
        <v>0.25741405484586166</v>
      </c>
      <c r="G19" s="9">
        <f>Assumptions!$B$10+($B$20-Assumptions!$B$10)*5/9</f>
        <v>0.2787234473963312</v>
      </c>
      <c r="H19" s="9">
        <f>Assumptions!$B$10+($B$20-Assumptions!$B$10)*6/9</f>
        <v>0.30003283994680074</v>
      </c>
      <c r="I19" s="9">
        <f>Assumptions!$B$10+($B$20-Assumptions!$B$10)*7/9</f>
        <v>0.3213422324972703</v>
      </c>
      <c r="J19" s="9">
        <f>Assumptions!$B$10+($B$20-Assumptions!$B$10)*8/9</f>
        <v>0.3426516250477398</v>
      </c>
      <c r="K19" s="9">
        <f>Assumptions!$B$10+($B$20-Assumptions!$B$10)*9/9</f>
        <v>0.36396101759820937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0.36396101759820937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3772548067.157547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5219717874.812248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0.27501748785921515</v>
      </c>
    </row>
    <row r="7" spans="1:2" x14ac:dyDescent="0.25">
      <c r="A7" t="s">
        <v>66</v>
      </c>
      <c r="B7" s="18">
        <f>-MAX(B5,0)*B6</f>
        <v>-1435513697.2647057</v>
      </c>
    </row>
    <row r="8" spans="1:2" x14ac:dyDescent="0.25">
      <c r="A8" t="s">
        <v>67</v>
      </c>
      <c r="B8" s="18">
        <f>IF(OR(Assumptions!$B$33=0,Assumptions!B12&lt;=0),B5,MAX(B5+B7,0))</f>
        <v>3784204177.5475426</v>
      </c>
    </row>
    <row r="9" spans="1:2" x14ac:dyDescent="0.25">
      <c r="A9" t="s">
        <v>68</v>
      </c>
      <c r="B9" s="18">
        <f>B8*(1+Assumptions!B12)/(Assumptions!B26-Assumptions!B12)</f>
        <v>75850147324.79524</v>
      </c>
    </row>
    <row r="10" spans="1:2" x14ac:dyDescent="0.25">
      <c r="A10" t="s">
        <v>69</v>
      </c>
      <c r="B10" s="18">
        <f>B9/(1+Assumptions!B26)^(10-0.5*Assumptions!B32)</f>
        <v>37775613474.06751</v>
      </c>
    </row>
    <row r="11" spans="1:2" x14ac:dyDescent="0.25">
      <c r="A11" t="s">
        <v>70</v>
      </c>
      <c r="B11" s="18">
        <f>Forecast!B17+B10</f>
        <v>70174254118.41615</v>
      </c>
    </row>
    <row r="12" spans="1:2" x14ac:dyDescent="0.25">
      <c r="A12" t="s">
        <v>71</v>
      </c>
      <c r="B12" s="18">
        <f>-Assumptions!B30</f>
        <v>-43489100000</v>
      </c>
    </row>
    <row r="13" spans="1:2" x14ac:dyDescent="0.25">
      <c r="A13" t="s">
        <v>72</v>
      </c>
      <c r="B13" s="18">
        <f>B11+B12</f>
        <v>26685154118.416153</v>
      </c>
    </row>
    <row r="14" spans="1:2" x14ac:dyDescent="0.25">
      <c r="A14" s="19" t="s">
        <v>73</v>
      </c>
      <c r="B14" s="24">
        <f>B13/Assumptions!B31</f>
        <v>56.92747866893967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9488824743.08897</v>
      </c>
    </row>
    <row r="18" spans="1:2" x14ac:dyDescent="0.25">
      <c r="A18" t="s">
        <v>68</v>
      </c>
      <c r="B18" s="18">
        <f>B17*Assumptions!B13</f>
        <v>177741394532.98618</v>
      </c>
    </row>
    <row r="19" spans="1:2" x14ac:dyDescent="0.25">
      <c r="A19" t="s">
        <v>69</v>
      </c>
      <c r="B19" s="18">
        <f>B18/(1+Assumptions!B26)^(10-0.5*Assumptions!B32)</f>
        <v>88520463770.08072</v>
      </c>
    </row>
    <row r="20" spans="1:2" x14ac:dyDescent="0.25">
      <c r="A20" t="s">
        <v>70</v>
      </c>
      <c r="B20" s="18">
        <f>Forecast!B17+B19</f>
        <v>120919104414.42935</v>
      </c>
    </row>
    <row r="21" spans="1:2" x14ac:dyDescent="0.25">
      <c r="A21" t="s">
        <v>71</v>
      </c>
      <c r="B21" s="18">
        <f>-Assumptions!B30</f>
        <v>-43489100000</v>
      </c>
    </row>
    <row r="22" spans="1:2" x14ac:dyDescent="0.25">
      <c r="A22" t="s">
        <v>72</v>
      </c>
      <c r="B22" s="18">
        <f>B20+B21</f>
        <v>77430004414.42935</v>
      </c>
    </row>
    <row r="23" spans="1:2" x14ac:dyDescent="0.25">
      <c r="A23" s="19" t="s">
        <v>73</v>
      </c>
      <c r="B23" s="25">
        <f>B22/Assumptions!B31</f>
        <v>165.18154270641153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187.78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56.92747866893967</v>
      </c>
    </row>
    <row r="29" spans="1:2" x14ac:dyDescent="0.25">
      <c r="A29" s="19" t="s">
        <v>81</v>
      </c>
      <c r="B29" s="11">
        <f>B28/B26-1</f>
        <v>-0.6968395001121543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0.056138</v>
      </c>
      <c r="B5" s="31">
        <v>122.53443632362577</v>
      </c>
      <c r="C5" s="31">
        <v>129.93625377351202</v>
      </c>
      <c r="D5" s="31">
        <v>140.22949662117693</v>
      </c>
      <c r="E5" s="31">
        <v>155.07348772860993</v>
      </c>
      <c r="F5" s="31">
        <v>177.69754036558692</v>
      </c>
    </row>
    <row r="6" spans="1:6" x14ac:dyDescent="0.25">
      <c r="A6" s="30">
        <v>0.066138</v>
      </c>
      <c r="B6" s="31">
        <v>83.2320012433201</v>
      </c>
      <c r="C6" s="31">
        <v>85.44927480408688</v>
      </c>
      <c r="D6" s="31">
        <v>88.57326914429716</v>
      </c>
      <c r="E6" s="31">
        <v>92.98034188450696</v>
      </c>
      <c r="F6" s="31">
        <v>99.28858590158673</v>
      </c>
    </row>
    <row r="7" spans="1:6" x14ac:dyDescent="0.25">
      <c r="A7" s="30">
        <v>0.076138</v>
      </c>
      <c r="B7" s="31">
        <v>56.68699932938521</v>
      </c>
      <c r="C7" s="31">
        <v>56.66890287642434</v>
      </c>
      <c r="D7" s="32">
        <v>56.92695481662767</v>
      </c>
      <c r="E7" s="31">
        <v>57.55093420191478</v>
      </c>
      <c r="F7" s="31">
        <v>58.67426783174732</v>
      </c>
    </row>
    <row r="8" spans="1:6" x14ac:dyDescent="0.25">
      <c r="A8" s="30">
        <v>0.086138</v>
      </c>
      <c r="B8" s="31">
        <v>37.52581595444747</v>
      </c>
      <c r="C8" s="31">
        <v>36.47973560446793</v>
      </c>
      <c r="D8" s="31">
        <v>35.48392355889066</v>
      </c>
      <c r="E8" s="31">
        <v>34.55181144274753</v>
      </c>
      <c r="F8" s="31">
        <v>33.702083970761564</v>
      </c>
    </row>
    <row r="9" spans="1:6" x14ac:dyDescent="0.25">
      <c r="A9" s="30">
        <v>0.096138</v>
      </c>
      <c r="B9" s="31">
        <v>23.79794844356314</v>
      </c>
      <c r="C9" s="31">
        <v>22.585962388810977</v>
      </c>
      <c r="D9" s="31">
        <v>21.373976334058813</v>
      </c>
      <c r="E9" s="31">
        <v>20.161990279306686</v>
      </c>
      <c r="F9" s="31">
        <v>18.95000422455449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10644600000</v>
      </c>
      <c r="C5" s="18">
        <v>10127200000</v>
      </c>
      <c r="D5" s="18">
        <v>10012200000</v>
      </c>
      <c r="E5" s="18">
        <v>9645400000</v>
      </c>
      <c r="F5" s="6" t="s">
        <v>91</v>
      </c>
    </row>
    <row r="6" spans="1:6" x14ac:dyDescent="0.25">
      <c r="A6" t="s">
        <v>51</v>
      </c>
      <c r="B6" s="18">
        <v>4929200000</v>
      </c>
      <c r="C6" s="18">
        <v>4603000000</v>
      </c>
      <c r="D6" s="18">
        <v>3536800000</v>
      </c>
      <c r="E6" s="18">
        <v>2922700000</v>
      </c>
      <c r="F6" s="6" t="s">
        <v>92</v>
      </c>
    </row>
    <row r="7" spans="1:6" x14ac:dyDescent="0.25">
      <c r="A7" t="s">
        <v>93</v>
      </c>
      <c r="B7" s="18">
        <v>2041600000</v>
      </c>
      <c r="C7" s="18">
        <v>2124800000</v>
      </c>
      <c r="D7" s="18">
        <v>3086500000</v>
      </c>
      <c r="E7" s="18">
        <v>3355100000</v>
      </c>
      <c r="F7" s="6" t="s">
        <v>94</v>
      </c>
    </row>
    <row r="8" spans="1:6" x14ac:dyDescent="0.25">
      <c r="A8" t="s">
        <v>95</v>
      </c>
      <c r="B8" s="18">
        <v>1680400000</v>
      </c>
      <c r="C8" s="18">
        <v>1590000000</v>
      </c>
      <c r="D8" s="18">
        <v>1798100000</v>
      </c>
      <c r="E8" s="18">
        <v>1873600000</v>
      </c>
      <c r="F8" s="6" t="s">
        <v>96</v>
      </c>
    </row>
    <row r="9" spans="1:6" x14ac:dyDescent="0.25">
      <c r="A9" t="s">
        <v>97</v>
      </c>
      <c r="B9" s="18">
        <v>166600000</v>
      </c>
      <c r="C9" s="18">
        <v>386500000</v>
      </c>
      <c r="D9" s="18">
        <v>813900000</v>
      </c>
      <c r="E9" s="18">
        <v>1619200000</v>
      </c>
      <c r="F9" s="6" t="s">
        <v>98</v>
      </c>
    </row>
    <row r="10" spans="1:6" x14ac:dyDescent="0.25">
      <c r="A10" t="s">
        <v>99</v>
      </c>
      <c r="B10" s="18">
        <v>44963900000</v>
      </c>
      <c r="C10" s="18">
        <v>43954100000</v>
      </c>
      <c r="D10" s="18">
        <v>46307000000</v>
      </c>
      <c r="E10" s="18">
        <v>47051000000</v>
      </c>
      <c r="F10" s="6" t="s">
        <v>100</v>
      </c>
    </row>
    <row r="11" spans="1:6" x14ac:dyDescent="0.25">
      <c r="A11" t="s">
        <v>101</v>
      </c>
      <c r="B11" s="18">
        <v>1474800000</v>
      </c>
      <c r="C11" s="18">
        <v>1999600000</v>
      </c>
      <c r="D11" s="18">
        <v>1753700000</v>
      </c>
      <c r="E11" s="18">
        <v>2028400000</v>
      </c>
      <c r="F11" s="6" t="s">
        <v>102</v>
      </c>
    </row>
    <row r="12" spans="1:6" x14ac:dyDescent="0.25">
      <c r="A12" t="s">
        <v>34</v>
      </c>
      <c r="B12" s="34">
        <v>468757000</v>
      </c>
      <c r="C12" s="34">
        <v>468120000</v>
      </c>
      <c r="D12" s="34">
        <v>467162000</v>
      </c>
      <c r="E12" s="34">
        <v>462750000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