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<sst xmlns="http://schemas.openxmlformats.org/spreadsheetml/2006/main" count="112" uniqueCount="100">
  <si>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Amazon.com, Inc. (AMZN)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</si>
  <si>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</si>
  <si>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</si>
  <si>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</si>
  <si>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</si>
  <si>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</si>
  <si>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</si>
  <si>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</si>
  <si>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</si>
  <si>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</si>
  <si>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</si>
  <si>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</si>
  <si>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</si>
  <si>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</si>
  <si>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</si>
  <si>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</si>
  <si>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</si>
  <si>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</si>
  <si>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</si>
  <si>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</si>
  <si>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</si>
  <si>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</si>
  <si>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</si>
  <si>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</si>
  <si>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</si>
  <si>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</si>
  <si>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</si>
  <si>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</si>
  <si>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</si>
  <si>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</si>
  <si>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</si>
  <si>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</si>
  <si>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</si>
  <si>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</si>
  <si>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</si>
  <si>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</si>
  <si>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</si>
  <si>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</si>
  <si>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</si>
  <si>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</si>
  <si>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</si>
  <si>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</si>
  <si>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</si>
  <si>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</si>
  <si>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</si>
  <si>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</si>
  <si>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</si>
  <si>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</si>
  <si>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</si>
  <si>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</si>
  <si>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</si>
  <si>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</si>
  <si>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</si>
  <si>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</si>
  <si>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</si>
  <si>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</si>
  <si>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</si>
  <si>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</si>
  <si>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</si>
  <si>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</si>
  <si>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</si>
  <si>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</si>
  <si>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</si>
  <si>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</si>
  <si>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</si>
  <si>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</si>
  <si>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</si>
  <si>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</si>
  <si>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</si>
  <si>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</si>
  <si>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</si>
  <si>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</si>
  <si>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</si>
  <si>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</si>
  <si>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</si>
  <si>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</si>
  <si>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</si>
  <si>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</si>
  <si>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</si>
  <si>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</si>
  <si>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</si>
  <si>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</si>
  <si>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</si>
  <si>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</si>
  <si>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</si>
  <si>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</si>
  <si>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</si>
  <si>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</si>
  <si>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</si>
  <si>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</si>
  <si>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</si>
  <si>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</si>
  <si>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</si>
  <si>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</si>
  <si>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</si>
  <si>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</si>
  <si>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</si>
  <si>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</si>
  <si>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13.2% of revenue against depreciation of 8.5%.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</si>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</sst>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0.11731283601806397</v>
      </c>
    </row>
    <row r="7" spans="1:2" x14ac:dyDescent="0.25">
      <c r="A7" t="s">
        <v>5</v>
      </c>
      <c r="B7" s="6">
        <v>0.07675410165195783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0.08517493762833936</v>
      </c>
    </row>
    <row r="10" spans="1:2" x14ac:dyDescent="0.25">
      <c r="A10" t="s">
        <v>8</v>
      </c>
      <c r="B10" s="6">
        <v>0.1323830668233175</v>
      </c>
    </row>
    <row r="11" spans="1:2" x14ac:dyDescent="0.25">
      <c r="A11" t="s">
        <v>9</v>
      </c>
      <c r="B11" s="6">
        <v>0.24600310254218508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18.983975028621227</v>
      </c>
    </row>
    <row r="14" spans="1:3" x14ac:dyDescent="0.25">
      <c r="A14" t="s">
        <v>12</v>
      </c>
      <c r="B14" s="6">
        <v>0.1546994583146002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1.29681</v>
      </c>
      <c r="C19" s="8" t="s">
        <v>19</v>
      </c>
    </row>
    <row r="20" spans="1:2" x14ac:dyDescent="0.25">
      <c r="A20" t="s">
        <v>20</v>
      </c>
      <c r="B20" s="10">
        <f>B17+B19*B18</f>
        <v>0.12130455000000001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2736595664896</v>
      </c>
    </row>
    <row r="23" spans="1:2" x14ac:dyDescent="0.25">
      <c r="A23" t="s">
        <v>24</v>
      </c>
      <c r="B23" s="11">
        <v>152987000000</v>
      </c>
    </row>
    <row r="24" spans="1:2" x14ac:dyDescent="0.25">
      <c r="A24" t="s">
        <v>25</v>
      </c>
      <c r="B24" s="10">
        <f>B22/(B22+B23)</f>
        <v>0.9470556762889819</v>
      </c>
    </row>
    <row r="25" spans="1:2" x14ac:dyDescent="0.25">
      <c r="A25" t="s">
        <v>26</v>
      </c>
      <c r="B25" s="10">
        <f>1-B24</f>
        <v>0.05294432371101809</v>
      </c>
    </row>
    <row r="26" spans="1:2" x14ac:dyDescent="0.25">
      <c r="A26" t="s">
        <v>27</v>
      </c>
      <c r="B26" s="12">
        <f>B24*B20+B25*B21*(1-B8)</f>
        <v>0.11752831993625731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716924000000</v>
      </c>
      <c r="C29" s="8" t="s">
        <v>30</v>
      </c>
    </row>
    <row r="30" spans="1:2" x14ac:dyDescent="0.25">
      <c r="A30" t="s">
        <v>31</v>
      </c>
      <c r="B30" s="11">
        <v>29958000000</v>
      </c>
    </row>
    <row r="31" spans="1:2" x14ac:dyDescent="0.25">
      <c r="A31" t="s">
        <v>32</v>
      </c>
      <c r="B31" s="13">
        <v>10827000000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0.11731283601806397</v>
      </c>
      <c r="C5" s="10">
        <f>Assumptions!B6</f>
        <v>0.11731283601806397</v>
      </c>
      <c r="D5" s="10">
        <f>Assumptions!B6</f>
        <v>0.11731283601806397</v>
      </c>
      <c r="E5" s="10">
        <f>Assumptions!B6</f>
        <v>0.11731283601806397</v>
      </c>
      <c r="F5" s="10">
        <f>Assumptions!B6</f>
        <v>0.11731283601806397</v>
      </c>
    </row>
    <row r="6" spans="1:6" x14ac:dyDescent="0.25">
      <c r="A6" t="s">
        <v>43</v>
      </c>
      <c r="B6" s="18">
        <f>Assumptions!B29*(1+B5)</f>
        <v>801028387649.4146</v>
      </c>
      <c r="C6" s="18">
        <f>B6*(1+C5)</f>
        <v>894999299535.5446</v>
      </c>
      <c r="D6" s="18">
        <f>C6*(1+D5)</f>
        <v>999994205598.24</v>
      </c>
      <c r="E6" s="18">
        <f>D6*(1+E5)</f>
        <v>1117306361858.6006</v>
      </c>
      <c r="F6" s="18">
        <f>E6*(1+F5)</f>
        <v>1248380739869.2583</v>
      </c>
    </row>
    <row r="7" spans="1:6" x14ac:dyDescent="0.25">
      <c r="A7" t="s">
        <v>5</v>
      </c>
      <c r="B7" s="10">
        <f>Assumptions!B7</f>
        <v>0.07675410165195783</v>
      </c>
      <c r="C7" s="10">
        <f>Assumptions!B7</f>
        <v>0.07675410165195783</v>
      </c>
      <c r="D7" s="10">
        <f>Assumptions!B7</f>
        <v>0.07675410165195783</v>
      </c>
      <c r="E7" s="10">
        <f>Assumptions!B7</f>
        <v>0.07675410165195783</v>
      </c>
      <c r="F7" s="10">
        <f>Assumptions!B7</f>
        <v>0.07675410165195783</v>
      </c>
    </row>
    <row r="8" spans="1:6" x14ac:dyDescent="0.25">
      <c r="A8" t="s">
        <v>44</v>
      </c>
      <c r="B8" s="18">
        <f>B6*B7</f>
        <v>61482214291.74704</v>
      </c>
      <c r="C8" s="18">
        <f>C6*C7</f>
        <v>68694867214.98224</v>
      </c>
      <c r="D8" s="18">
        <f>D6*D7</f>
        <v>76753656907.85612</v>
      </c>
      <c r="E8" s="18">
        <f>E6*E7</f>
        <v>85757846074.4742</v>
      </c>
      <c r="F8" s="18">
        <f>F6*F7</f>
        <v>95818342208.27138</v>
      </c>
    </row>
    <row r="9" spans="1:6" x14ac:dyDescent="0.25">
      <c r="A9" t="s">
        <v>45</v>
      </c>
      <c r="B9" s="18">
        <f>B8*(1-Assumptions!B8)</f>
        <v>61482214291.74704</v>
      </c>
      <c r="C9" s="18">
        <f>C8*(1-Assumptions!B8)</f>
        <v>68694867214.98224</v>
      </c>
      <c r="D9" s="18">
        <f>D8*(1-Assumptions!B8)</f>
        <v>76753656907.85612</v>
      </c>
      <c r="E9" s="18">
        <f>E8*(1-Assumptions!B8)</f>
        <v>85757846074.4742</v>
      </c>
      <c r="F9" s="18">
        <f>F8*(1-Assumptions!B8)</f>
        <v>95818342208.27138</v>
      </c>
    </row>
    <row r="10" spans="1:6" x14ac:dyDescent="0.25">
      <c r="A10" t="s">
        <v>46</v>
      </c>
      <c r="B10" s="18">
        <f>B6*Assumptions!B9</f>
        <v>68227542956.56812</v>
      </c>
      <c r="C10" s="18">
        <f>C6*Assumptions!B9</f>
        <v>76231509515.34743</v>
      </c>
      <c r="D10" s="18">
        <f>D6*Assumptions!B9</f>
        <v>85174444090.53085</v>
      </c>
      <c r="E10" s="18">
        <f>E6*Assumptions!B9</f>
        <v>95166499683.05307</v>
      </c>
      <c r="F10" s="18">
        <f>F6*Assumptions!B9</f>
        <v>106330751654.78421</v>
      </c>
    </row>
    <row r="11" spans="1:6" x14ac:dyDescent="0.25">
      <c r="A11" t="s">
        <v>47</v>
      </c>
      <c r="B11" s="18">
        <f>-B6*Assumptions!B10</f>
        <v>-106042594569.56671</v>
      </c>
      <c r="C11" s="18">
        <f>-C6*Assumptions!B10</f>
        <v>-118482752077.23634</v>
      </c>
      <c r="D11" s="18">
        <f>-D6*Assumptions!B10</f>
        <v>-132382299742.64209</v>
      </c>
      <c r="E11" s="18">
        <f>-E6*Assumptions!B10</f>
        <v>-147912442764.04486</v>
      </c>
      <c r="F11" s="18">
        <f>-F6*Assumptions!B10</f>
        <v>-165264470907.05457</v>
      </c>
    </row>
    <row r="12" spans="1:6" x14ac:dyDescent="0.25">
      <c r="A12" t="s">
        <v>48</v>
      </c>
      <c r="B12" s="18">
        <f>-(B6-Assumptions!B29)*Assumptions!B11</f>
        <v>-20689940299.16661</v>
      </c>
      <c r="C12" s="18">
        <f>-(C6-B6)*Assumptions!B11</f>
        <v>-23117135872.70628</v>
      </c>
      <c r="D12" s="18">
        <f>-(D6-C6)*Assumptions!B11</f>
        <v>-25829072642.548355</v>
      </c>
      <c r="E12" s="18">
        <f>-(E6-D6)*Assumptions!B11</f>
        <v>-28859154405.962326</v>
      </c>
      <c r="F12" s="18">
        <f>-(F6-E6)*Assumptions!B11</f>
        <v>-32244703654.40896</v>
      </c>
    </row>
    <row r="13" spans="1:6" x14ac:dyDescent="0.25">
      <c r="A13" s="19" t="s">
        <v>49</v>
      </c>
      <c r="B13" s="20">
        <f>B9+B10+B11+B12</f>
        <v>2977222379.581833</v>
      </c>
      <c r="C13" s="20">
        <f>C9+C10+C11+C12</f>
        <v>3326488780.3870277</v>
      </c>
      <c r="D13" s="20">
        <f>D9+D10+D11+D12</f>
        <v>3716728613.196518</v>
      </c>
      <c r="E13" s="20">
        <f>E9+E10+E11+E12</f>
        <v>4152748587.520096</v>
      </c>
      <c r="F13" s="20">
        <f>F9+F10+F11+F12</f>
        <v>4639919301.592079</v>
      </c>
    </row>
    <row r="14" spans="1:6" x14ac:dyDescent="0.25">
      <c r="A14" t="s">
        <v>50</v>
      </c>
      <c r="B14" s="21">
        <f>1/(1+Assumptions!$B$26)^(1-0.5*Assumptions!$B$32)</f>
        <v>0.9459555534475816</v>
      </c>
      <c r="C14" s="21">
        <f>1/(1+Assumptions!$B$26)^(2-0.5*Assumptions!$B$32)</f>
        <v>0.8464712138136581</v>
      </c>
      <c r="D14" s="21">
        <f>1/(1+Assumptions!$B$26)^(3-0.5*Assumptions!$B$32)</f>
        <v>0.7574494522536483</v>
      </c>
      <c r="E14" s="21">
        <f>1/(1+Assumptions!$B$26)^(4-0.5*Assumptions!$B$32)</f>
        <v>0.6777899394056094</v>
      </c>
      <c r="F14" s="21">
        <f>1/(1+Assumptions!$B$26)^(5-0.5*Assumptions!$B$32)</f>
        <v>0.6065080654459565</v>
      </c>
    </row>
    <row r="15" spans="1:6" x14ac:dyDescent="0.25">
      <c r="A15" s="19" t="s">
        <v>51</v>
      </c>
      <c r="B15" s="20">
        <f>B13*B14</f>
        <v>2816320043.8138585</v>
      </c>
      <c r="C15" s="20">
        <f>C13*C14</f>
        <v>2815776995.6717224</v>
      </c>
      <c r="D15" s="20">
        <f>D13*D14</f>
        <v>2815234052.2411647</v>
      </c>
      <c r="E15" s="20">
        <f>E13*E14</f>
        <v>2814691213.5019755</v>
      </c>
      <c r="F15" s="20">
        <f>F13*F14</f>
        <v>2814148479.433965</v>
      </c>
    </row>
    <row r="17" spans="1:2" x14ac:dyDescent="0.25">
      <c r="A17" s="22" t="s">
        <v>52</v>
      </c>
      <c r="B17" s="23">
        <f>SUM(B15:F15)</f>
        <v>14076170784.662687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4639919301.592079</v>
      </c>
    </row>
    <row r="5" spans="1:2" x14ac:dyDescent="0.25">
      <c r="A5" t="s">
        <v>56</v>
      </c>
      <c r="B5" s="18">
        <f>IF(Assumptions!$B$33=0,B4,B4-Forecast!F11-Forecast!F10-Forecast!F12)</f>
        <v>95818342208.27138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0.1616036686383184</v>
      </c>
    </row>
    <row r="7" spans="1:2" x14ac:dyDescent="0.25">
      <c r="A7" t="s">
        <v>58</v>
      </c>
      <c r="B7" s="18">
        <f>-MAX(Forecast!F9,0)*B6</f>
        <v>-15484595623.698486</v>
      </c>
    </row>
    <row r="8" spans="1:2" x14ac:dyDescent="0.25">
      <c r="A8" t="s">
        <v>59</v>
      </c>
      <c r="B8" s="18">
        <f>IF(OR(Assumptions!$B$33=0,Assumptions!B12&lt;=0),B5,MAX(B5+B7,0))</f>
        <v>80333746584.57289</v>
      </c>
    </row>
    <row r="9" spans="1:2" x14ac:dyDescent="0.25">
      <c r="A9" t="s">
        <v>60</v>
      </c>
      <c r="B9" s="18">
        <f>B8*(1+Assumptions!B12)/(Assumptions!B26-Assumptions!B12)</f>
        <v>889912302589.2246</v>
      </c>
    </row>
    <row r="10" spans="1:2" x14ac:dyDescent="0.25">
      <c r="A10" t="s">
        <v>61</v>
      </c>
      <c r="B10" s="18">
        <f>B9/(1+Assumptions!B26)^(5-0.5*Assumptions!B32)</f>
        <v>539738989059.94727</v>
      </c>
    </row>
    <row r="11" spans="1:2" x14ac:dyDescent="0.25">
      <c r="A11" t="s">
        <v>62</v>
      </c>
      <c r="B11" s="18">
        <f>Forecast!B17+B10</f>
        <v>553815159844.61</v>
      </c>
    </row>
    <row r="12" spans="1:2" x14ac:dyDescent="0.25">
      <c r="A12" t="s">
        <v>63</v>
      </c>
      <c r="B12" s="18">
        <f>-Assumptions!B30</f>
        <v>-29958000000</v>
      </c>
    </row>
    <row r="13" spans="1:2" x14ac:dyDescent="0.25">
      <c r="A13" t="s">
        <v>64</v>
      </c>
      <c r="B13" s="18">
        <f>B11+B12</f>
        <v>523857159844.61</v>
      </c>
    </row>
    <row r="14" spans="1:2" x14ac:dyDescent="0.25">
      <c r="A14" s="19" t="s">
        <v>65</v>
      </c>
      <c r="B14" s="24">
        <f>B13/Assumptions!B31</f>
        <v>48.384331748832544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202149093863.0556</v>
      </c>
    </row>
    <row r="18" spans="1:2" x14ac:dyDescent="0.25">
      <c r="A18" t="s">
        <v>60</v>
      </c>
      <c r="B18" s="18">
        <f>B17*Assumptions!B13</f>
        <v>3837593349954.6562</v>
      </c>
    </row>
    <row r="19" spans="1:2" x14ac:dyDescent="0.25">
      <c r="A19" t="s">
        <v>61</v>
      </c>
      <c r="B19" s="18">
        <f>B18/(1+Assumptions!B26)^(5-0.5*Assumptions!B32)</f>
        <v>2327531318649.266</v>
      </c>
    </row>
    <row r="20" spans="1:2" x14ac:dyDescent="0.25">
      <c r="A20" t="s">
        <v>62</v>
      </c>
      <c r="B20" s="18">
        <f>Forecast!B17+B19</f>
        <v>2341607489433.9287</v>
      </c>
    </row>
    <row r="21" spans="1:2" x14ac:dyDescent="0.25">
      <c r="A21" t="s">
        <v>63</v>
      </c>
      <c r="B21" s="18">
        <f>-Assumptions!B30</f>
        <v>-29958000000</v>
      </c>
    </row>
    <row r="22" spans="1:2" x14ac:dyDescent="0.25">
      <c r="A22" t="s">
        <v>64</v>
      </c>
      <c r="B22" s="18">
        <f>B20+B21</f>
        <v>2311649489433.9287</v>
      </c>
    </row>
    <row r="23" spans="1:2" x14ac:dyDescent="0.25">
      <c r="A23" s="19" t="s">
        <v>65</v>
      </c>
      <c r="B23" s="25">
        <f>B22/Assumptions!B31</f>
        <v>213.50784976761142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253.71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48.384331748832544</v>
      </c>
    </row>
    <row r="29" spans="1:2" x14ac:dyDescent="0.25">
      <c r="A29" s="19" t="s">
        <v>73</v>
      </c>
      <c r="B29" s="12">
        <f>B28/B26-1</f>
        <v>-0.8092927683227601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0.097528</v>
      </c>
      <c r="B5" s="31">
        <v>63.254381270785295</v>
      </c>
      <c r="C5" s="31">
        <v>65.28793453802669</v>
      </c>
      <c r="D5" s="31">
        <v>67.57592509697676</v>
      </c>
      <c r="E5" s="31">
        <v>70.17487112343865</v>
      </c>
      <c r="F5" s="31">
        <v>73.15936851065496</v>
      </c>
    </row>
    <row r="6" spans="1:6" x14ac:dyDescent="0.25">
      <c r="A6" s="30">
        <v>0.107528</v>
      </c>
      <c r="B6" s="31">
        <v>53.928770478711705</v>
      </c>
      <c r="C6" s="31">
        <v>55.2747195972386</v>
      </c>
      <c r="D6" s="31">
        <v>56.76186979892671</v>
      </c>
      <c r="E6" s="31">
        <v>58.41754045545357</v>
      </c>
      <c r="F6" s="31">
        <v>60.27658440741292</v>
      </c>
    </row>
    <row r="7" spans="1:6" x14ac:dyDescent="0.25">
      <c r="A7" s="30">
        <v>0.117528</v>
      </c>
      <c r="B7" s="31">
        <v>46.51830984667653</v>
      </c>
      <c r="C7" s="31">
        <v>47.41249454289002</v>
      </c>
      <c r="D7" s="32">
        <v>48.38456927453275</v>
      </c>
      <c r="E7" s="31">
        <v>49.447882347648964</v>
      </c>
      <c r="F7" s="31">
        <v>50.61901692337307</v>
      </c>
    </row>
    <row r="8" spans="1:6" x14ac:dyDescent="0.25">
      <c r="A8" s="30">
        <v>0.127528</v>
      </c>
      <c r="B8" s="31">
        <v>40.50746016571758</v>
      </c>
      <c r="C8" s="31">
        <v>41.096121360700735</v>
      </c>
      <c r="D8" s="31">
        <v>41.72594151135883</v>
      </c>
      <c r="E8" s="31">
        <v>42.403250946778186</v>
      </c>
      <c r="F8" s="31">
        <v>43.13574830165766</v>
      </c>
    </row>
    <row r="9" spans="1:6" x14ac:dyDescent="0.25">
      <c r="A9" s="30">
        <v>0.137528</v>
      </c>
      <c r="B9" s="31">
        <v>35.54927853598029</v>
      </c>
      <c r="C9" s="31">
        <v>35.92671519275712</v>
      </c>
      <c r="D9" s="31">
        <v>36.32345927123764</v>
      </c>
      <c r="E9" s="31">
        <v>36.74220412873859</v>
      </c>
      <c r="F9" s="31">
        <v>37.18616851219064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716924000000</v>
      </c>
      <c r="C5" s="18">
        <v>637959000000</v>
      </c>
      <c r="D5" s="18">
        <v>574785000000</v>
      </c>
      <c r="E5" s="18">
        <v>513983000000</v>
      </c>
      <c r="F5" s="8" t="s">
        <v>84</v>
      </c>
    </row>
    <row r="6" spans="1:6" x14ac:dyDescent="0.25">
      <c r="A6" t="s">
        <v>44</v>
      </c>
      <c r="B6" s="18">
        <v>79975000000</v>
      </c>
      <c r="C6" s="18">
        <v>68593000000</v>
      </c>
      <c r="D6" s="18">
        <v>36852000000</v>
      </c>
      <c r="E6" s="18">
        <v>12248000000</v>
      </c>
      <c r="F6" s="8" t="s">
        <v>85</v>
      </c>
    </row>
    <row r="7" spans="1:6" x14ac:dyDescent="0.25">
      <c r="A7" t="s">
        <v>86</v>
      </c>
      <c r="B7" s="18">
        <v>65756000000</v>
      </c>
      <c r="C7" s="18">
        <v>52795000000</v>
      </c>
      <c r="D7" s="18">
        <v>48663000000</v>
      </c>
      <c r="E7" s="18">
        <v>41921000000</v>
      </c>
      <c r="F7" s="8" t="s">
        <v>87</v>
      </c>
    </row>
    <row r="8" spans="1:6" x14ac:dyDescent="0.25">
      <c r="A8" t="s">
        <v>88</v>
      </c>
      <c r="B8" s="18">
        <v>131819000000</v>
      </c>
      <c r="C8" s="18">
        <v>82999000000</v>
      </c>
      <c r="D8" s="18">
        <v>52729000000</v>
      </c>
      <c r="E8" s="18">
        <v>63645000000</v>
      </c>
      <c r="F8" s="8" t="s">
        <v>89</v>
      </c>
    </row>
    <row r="9" spans="1:6" x14ac:dyDescent="0.25">
      <c r="A9" t="s">
        <v>90</v>
      </c>
      <c r="B9" s="18">
        <v>19969000000</v>
      </c>
      <c r="C9" s="18">
        <v>15541000000</v>
      </c>
      <c r="D9" s="18">
        <v>11541000000</v>
      </c>
      <c r="E9" s="18">
        <v>20886000000</v>
      </c>
      <c r="F9" s="8" t="s">
        <v>91</v>
      </c>
    </row>
    <row r="10" spans="1:6" x14ac:dyDescent="0.25">
      <c r="A10" t="s">
        <v>92</v>
      </c>
      <c r="B10" s="18">
        <v>152987000000</v>
      </c>
      <c r="C10" s="18">
        <v>130900000000</v>
      </c>
      <c r="D10" s="18">
        <v>135611000000</v>
      </c>
      <c r="E10" s="18">
        <v>140118000000</v>
      </c>
      <c r="F10" s="8" t="s">
        <v>93</v>
      </c>
    </row>
    <row r="11" spans="1:6" x14ac:dyDescent="0.25">
      <c r="A11" t="s">
        <v>94</v>
      </c>
      <c r="B11" s="18">
        <v>123029000000</v>
      </c>
      <c r="C11" s="18">
        <v>101202000000</v>
      </c>
      <c r="D11" s="18">
        <v>86780000000</v>
      </c>
      <c r="E11" s="18">
        <v>70026000000</v>
      </c>
      <c r="F11" s="8" t="s">
        <v>95</v>
      </c>
    </row>
    <row r="12" spans="1:6" x14ac:dyDescent="0.25">
      <c r="A12" t="s">
        <v>32</v>
      </c>
      <c r="B12" s="34">
        <v>10827000000</v>
      </c>
      <c r="C12" s="34">
        <v>10721000000</v>
      </c>
      <c r="D12" s="34">
        <v>10492000000</v>
      </c>
      <c r="E12" s="34">
        <v>10189000000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