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<sst xmlns="http://schemas.openxmlformats.org/spreadsheetml/2006/main" count="120" uniqueCount="107">
  <si>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Amazon.com, Inc. (AMZN)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</si>
  <si>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</si>
  <si>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</si>
  <si>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</si>
  <si>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</si>
  <si>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</si>
  <si>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</si>
  <si>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</si>
  <si>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</si>
  <si>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</si>
  <si>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</si>
  <si>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</si>
  <si>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</si>
  <si>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</si>
  <si>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</si>
  <si>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</si>
  <si>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</si>
  <si>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</si>
  <si>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</si>
  <si>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</si>
  <si>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</si>
  <si>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</si>
  <si>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</si>
  <si>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</si>
  <si>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35.2x interest cover. Book interest / average debt was lower, at 1.6%.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</si>
  <si>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</si>
  <si>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</si>
  <si>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</si>
  <si>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</si>
  <si>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</si>
  <si>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</si>
  <si>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</si>
  <si>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</si>
  <si>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</si>
  <si>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</si>
  <si>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</si>
  <si>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</si>
  <si>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</si>
  <si>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</si>
  <si>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</si>
  <si>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</si>
  <si>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</si>
  <si>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</si>
  <si>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</si>
  <si>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</si>
  <si>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</si>
  <si>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</si>
  <si>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</si>
  <si>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</si>
  <si>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</si>
  <si>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</si>
  <si>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</si>
  <si>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</si>
  <si>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</si>
  <si>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</si>
  <si>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</si>
  <si>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</si>
  <si>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</si>
  <si>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</si>
  <si>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</si>
  <si>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</si>
  <si>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</si>
  <si>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</si>
  <si>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</si>
  <si>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</si>
  <si>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</si>
  <si>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</si>
  <si>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</si>
  <si>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</si>
  <si>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</si>
  <si>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</si>
  <si>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</si>
  <si>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</si>
  <si>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</si>
  <si>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</si>
  <si>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</si>
  <si>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</si>
  <si>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</si>
  <si>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</si>
  <si>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</si>
  <si>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</si>
  <si>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</si>
  <si>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</si>
  <si>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</si>
  <si>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</si>
  <si>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</si>
  <si>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</si>
  <si>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</si>
  <si>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</si>
  <si>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</si>
  <si>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</si>
  <si>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</si>
  <si>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</si>
  <si>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</si>
  <si>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</si>
  <si>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</si>
  <si>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</si>
  <si>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</si>
  <si>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</si>
  <si>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</si>
  <si>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</si>
  <si>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</si>
  <si>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</si>
  <si>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</si>
  <si>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</si>
  <si>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13.2% of revenue against depreciation of 8.5%.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</si>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</sst>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0.15618916946566164</v>
      </c>
    </row>
    <row r="7" spans="1:2" x14ac:dyDescent="0.25">
      <c r="A7" t="s">
        <v>4</v>
      </c>
      <c r="B7" s="5">
        <v>0.07675410165195783</v>
      </c>
    </row>
    <row r="8" spans="1:2" x14ac:dyDescent="0.25">
      <c r="A8" t="s">
        <v>5</v>
      </c>
      <c r="B8" s="5">
        <v>0</v>
      </c>
    </row>
    <row r="9" spans="1:2" x14ac:dyDescent="0.25">
      <c r="A9" t="s">
        <v>6</v>
      </c>
      <c r="B9" s="5">
        <v>0.08517493762833936</v>
      </c>
    </row>
    <row r="10" spans="1:3" x14ac:dyDescent="0.25">
      <c r="A10" t="s">
        <v>7</v>
      </c>
      <c r="B10" s="5">
        <v>0.1323830668233175</v>
      </c>
      <c r="C10" s="6" t="s">
        <v>8</v>
      </c>
    </row>
    <row r="11" spans="1:2" x14ac:dyDescent="0.25">
      <c r="A11" t="s">
        <v>9</v>
      </c>
      <c r="B11" s="5">
        <v>-0.00643992811777103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18.43114513397973</v>
      </c>
    </row>
    <row r="14" spans="1:3" x14ac:dyDescent="0.25">
      <c r="A14" t="s">
        <v>12</v>
      </c>
      <c r="B14" s="5">
        <v>0.1546994583146002</v>
      </c>
      <c r="C14" s="6" t="s">
        <v>13</v>
      </c>
    </row>
    <row r="15" spans="1:3" x14ac:dyDescent="0.25">
      <c r="A15" t="s">
        <v>14</v>
      </c>
      <c r="B15" s="5">
        <v>0.08517493762833936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1.3370099999999998</v>
      </c>
      <c r="C19" s="6" t="s">
        <v>21</v>
      </c>
    </row>
    <row r="20" spans="1:2" x14ac:dyDescent="0.25">
      <c r="A20" t="s">
        <v>22</v>
      </c>
      <c r="B20" s="9">
        <f>B17+B19*B18</f>
        <v>0.105495523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2656031211520</v>
      </c>
    </row>
    <row r="23" spans="1:2" x14ac:dyDescent="0.25">
      <c r="A23" t="s">
        <v>26</v>
      </c>
      <c r="B23" s="10">
        <v>152987000000</v>
      </c>
    </row>
    <row r="24" spans="1:2" x14ac:dyDescent="0.25">
      <c r="A24" t="s">
        <v>27</v>
      </c>
      <c r="B24" s="9">
        <f>B22/(B22+B23)</f>
        <v>0.9455371989499433</v>
      </c>
    </row>
    <row r="25" spans="1:2" x14ac:dyDescent="0.25">
      <c r="A25" t="s">
        <v>28</v>
      </c>
      <c r="B25" s="9">
        <f>1-B24</f>
        <v>0.05446280105005674</v>
      </c>
    </row>
    <row r="26" spans="1:2" x14ac:dyDescent="0.25">
      <c r="A26" t="s">
        <v>29</v>
      </c>
      <c r="B26" s="11">
        <f>B24*B20+B25*B21*(1-B8)</f>
        <v>0.1026332020067693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716924000000</v>
      </c>
      <c r="C29" s="6" t="s">
        <v>32</v>
      </c>
    </row>
    <row r="30" spans="1:2" x14ac:dyDescent="0.25">
      <c r="A30" t="s">
        <v>33</v>
      </c>
      <c r="B30" s="10">
        <v>29958000000</v>
      </c>
    </row>
    <row r="31" spans="1:2" x14ac:dyDescent="0.25">
      <c r="A31" t="s">
        <v>34</v>
      </c>
      <c r="B31" s="12">
        <v>10827000000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0.15618916946566164</v>
      </c>
      <c r="C5" s="5">
        <v>0.1460905274802422</v>
      </c>
      <c r="D5" s="5">
        <v>0.13095421154521192</v>
      </c>
      <c r="E5" s="5">
        <v>0.11581789561018166</v>
      </c>
      <c r="F5" s="5">
        <v>0.10068157967515137</v>
      </c>
      <c r="G5" s="5">
        <v>0.0855452637401211</v>
      </c>
      <c r="H5" s="5">
        <v>0.07040894780509083</v>
      </c>
      <c r="I5" s="5">
        <v>0.05527263187006054</v>
      </c>
      <c r="J5" s="5">
        <v>0.04013631593503027</v>
      </c>
      <c r="K5" s="5">
        <v>0.024999999999999994</v>
      </c>
    </row>
    <row r="6" spans="1:11" x14ac:dyDescent="0.25">
      <c r="A6" t="s">
        <v>50</v>
      </c>
      <c r="B6" s="18">
        <f>Assumptions!B29*(1+B5)</f>
        <v>828899764130</v>
      </c>
      <c r="C6" s="18">
        <f>B6*(1+C5)</f>
        <v>949994167900</v>
      </c>
      <c r="D6" s="18">
        <f>C6*(1+D5)</f>
        <v>1074399905129.8943</v>
      </c>
      <c r="E6" s="18">
        <f>D6*(1+E5)</f>
        <v>1198834641185.8174</v>
      </c>
      <c r="F6" s="18">
        <f>E6*(1+F5)</f>
        <v>1319535206629.699</v>
      </c>
      <c r="G6" s="18">
        <f>F6*(1+G5)</f>
        <v>1432415193895.2117</v>
      </c>
      <c r="H6" s="18">
        <f>G6*(1+H5)</f>
        <v>1533270040517.3987</v>
      </c>
      <c r="I6" s="18">
        <f>H6*(1+I5)</f>
        <v>1618017911024.3096</v>
      </c>
      <c r="J6" s="18">
        <f>I6*(1+J5)</f>
        <v>1682959189089.719</v>
      </c>
      <c r="K6" s="18">
        <f>J6*(1+K5)</f>
        <v>1725033168816.962</v>
      </c>
    </row>
    <row r="7" spans="1:11" x14ac:dyDescent="0.25">
      <c r="A7" t="s">
        <v>4</v>
      </c>
      <c r="B7" s="9">
        <f>Assumptions!B7</f>
        <v>0.07675410165195783</v>
      </c>
      <c r="C7" s="9">
        <f>Assumptions!B7</f>
        <v>0.07675410165195783</v>
      </c>
      <c r="D7" s="9">
        <f>Assumptions!B7</f>
        <v>0.07675410165195783</v>
      </c>
      <c r="E7" s="9">
        <f>Assumptions!B7</f>
        <v>0.07675410165195783</v>
      </c>
      <c r="F7" s="9">
        <f>Assumptions!B7</f>
        <v>0.07675410165195783</v>
      </c>
      <c r="G7" s="9">
        <f>Assumptions!B7</f>
        <v>0.07675410165195783</v>
      </c>
      <c r="H7" s="9">
        <f>Assumptions!B7</f>
        <v>0.07675410165195783</v>
      </c>
      <c r="I7" s="9">
        <f>Assumptions!B7</f>
        <v>0.07675410165195783</v>
      </c>
      <c r="J7" s="9">
        <f>Assumptions!B7</f>
        <v>0.07675410165195783</v>
      </c>
      <c r="K7" s="9">
        <f>Assumptions!B7</f>
        <v>0.07675410165195783</v>
      </c>
    </row>
    <row r="8" spans="1:11" x14ac:dyDescent="0.25">
      <c r="A8" t="s">
        <v>51</v>
      </c>
      <c r="B8" s="18">
        <f>B6*B7</f>
        <v>63621456755.31789</v>
      </c>
      <c r="C8" s="18">
        <f>C6*C7</f>
        <v>72915948931.76369</v>
      </c>
      <c r="D8" s="18">
        <f>D6*D7</f>
        <v>82464599533.19376</v>
      </c>
      <c r="E8" s="18">
        <f>E6*E7</f>
        <v>92015475913.46461</v>
      </c>
      <c r="F8" s="18">
        <f>F6*F7</f>
        <v>101279739382.99309</v>
      </c>
      <c r="G8" s="18">
        <f>G6*G7</f>
        <v>109943741400.04196</v>
      </c>
      <c r="H8" s="18">
        <f>H6*H7</f>
        <v>117684764549.77391</v>
      </c>
      <c r="I8" s="18">
        <f>I6*I7</f>
        <v>124189511217.4483</v>
      </c>
      <c r="J8" s="18">
        <f>J6*J7</f>
        <v>129174020675.4888</v>
      </c>
      <c r="K8" s="18">
        <f>K6*K7</f>
        <v>132403371192.37602</v>
      </c>
    </row>
    <row r="9" spans="1:11" x14ac:dyDescent="0.25">
      <c r="A9" t="s">
        <v>52</v>
      </c>
      <c r="B9" s="18">
        <f>B8*(1-Assumptions!B8)</f>
        <v>63621456755.31789</v>
      </c>
      <c r="C9" s="18">
        <f>C8*(1-Assumptions!B8)</f>
        <v>72915948931.76369</v>
      </c>
      <c r="D9" s="18">
        <f>D8*(1-Assumptions!B8)</f>
        <v>82464599533.19376</v>
      </c>
      <c r="E9" s="18">
        <f>E8*(1-Assumptions!B8)</f>
        <v>92015475913.46461</v>
      </c>
      <c r="F9" s="18">
        <f>F8*(1-Assumptions!B8)</f>
        <v>101279739382.99309</v>
      </c>
      <c r="G9" s="18">
        <f>G8*(1-Assumptions!B8)</f>
        <v>109943741400.04196</v>
      </c>
      <c r="H9" s="18">
        <f>H8*(1-Assumptions!B8)</f>
        <v>117684764549.77391</v>
      </c>
      <c r="I9" s="18">
        <f>I8*(1-Assumptions!B8)</f>
        <v>124189511217.4483</v>
      </c>
      <c r="J9" s="18">
        <f>J8*(1-Assumptions!B8)</f>
        <v>129174020675.4888</v>
      </c>
      <c r="K9" s="18">
        <f>K8*(1-Assumptions!B8)</f>
        <v>132403371192.37602</v>
      </c>
    </row>
    <row r="10" spans="1:11" x14ac:dyDescent="0.25">
      <c r="A10" t="s">
        <v>53</v>
      </c>
      <c r="B10" s="18">
        <f>B6*Assumptions!B9</f>
        <v>70601485709.91795</v>
      </c>
      <c r="C10" s="18">
        <f>C6*Assumptions!B9</f>
        <v>80915693998.16866</v>
      </c>
      <c r="D10" s="18">
        <f>D6*Assumptions!B9</f>
        <v>91511944907.33247</v>
      </c>
      <c r="E10" s="18">
        <f>E6*Assumptions!B9</f>
        <v>102110665789.6946</v>
      </c>
      <c r="F10" s="18">
        <f>F6*Assumptions!B9</f>
        <v>112391328923.0825</v>
      </c>
      <c r="G10" s="18">
        <f>G6*Assumptions!B9</f>
        <v>122005874797.91028</v>
      </c>
      <c r="H10" s="18">
        <f>H6*Assumptions!B9</f>
        <v>130596180068.4708</v>
      </c>
      <c r="I10" s="18">
        <f>I6*Assumptions!B9</f>
        <v>137814574653.03152</v>
      </c>
      <c r="J10" s="18">
        <f>J6*Assumptions!B9</f>
        <v>143345943961.75742</v>
      </c>
      <c r="K10" s="18">
        <f>K6*Assumptions!B9</f>
        <v>146929592560.80133</v>
      </c>
    </row>
    <row r="11" spans="1:11" x14ac:dyDescent="0.25">
      <c r="A11" t="s">
        <v>54</v>
      </c>
      <c r="B11" s="18">
        <f>-B6*B19</f>
        <v>-109732292864.6539</v>
      </c>
      <c r="C11" s="18">
        <f>-C6*C19</f>
        <v>-122089367792.74742</v>
      </c>
      <c r="D11" s="18">
        <f>-D6*D19</f>
        <v>-133922614944.42334</v>
      </c>
      <c r="E11" s="18">
        <f>-E6*E19</f>
        <v>-144797172365.74368</v>
      </c>
      <c r="F11" s="18">
        <f>-F6*F19</f>
        <v>-154272734737.70282</v>
      </c>
      <c r="G11" s="18">
        <f>-G6*G19</f>
        <v>-161930666565.3954</v>
      </c>
      <c r="H11" s="18">
        <f>-H6*H19</f>
        <v>-167402643252.36917</v>
      </c>
      <c r="I11" s="18">
        <f>-I6*I19</f>
        <v>-170398303708.67853</v>
      </c>
      <c r="J11" s="18">
        <f>-J6*J19</f>
        <v>-170729201728.40085</v>
      </c>
      <c r="K11" s="18">
        <f>-K6*K19</f>
        <v>-168326463085.57034</v>
      </c>
    </row>
    <row r="12" spans="1:11" x14ac:dyDescent="0.25">
      <c r="A12" t="s">
        <v>55</v>
      </c>
      <c r="B12" s="18">
        <f>-(B6-Assumptions!B29)*Assumptions!B11</f>
        <v>721115871.9296837</v>
      </c>
      <c r="C12" s="18">
        <f>-(C6-B6)*Assumptions!B11</f>
        <v>779839255.7431412</v>
      </c>
      <c r="D12" s="18">
        <f>-(D6-C6)*Assumptions!B11</f>
        <v>801164005.1988305</v>
      </c>
      <c r="E12" s="18">
        <f>-(E6-D6)*Assumptions!B11</f>
        <v>801350755.5539558</v>
      </c>
      <c r="F12" s="18">
        <f>-(F6-E6)*Assumptions!B11</f>
        <v>777302965.2329154</v>
      </c>
      <c r="G12" s="18">
        <f>-(G6-F6)*Assumptions!B11</f>
        <v>726939003.924811</v>
      </c>
      <c r="H12" s="18">
        <f>-(H6-G6)*Assumptions!B11</f>
        <v>649497962.5757067</v>
      </c>
      <c r="I12" s="18">
        <f>-(I6-H6)*Assumptions!B11</f>
        <v>545770194.1986736</v>
      </c>
      <c r="J12" s="18">
        <f>-(J6-I6)*Assumptions!B11</f>
        <v>418217162.6174172</v>
      </c>
      <c r="K12" s="18">
        <f>-(K6-J6)*Assumptions!B11</f>
        <v>270953405.07199997</v>
      </c>
    </row>
    <row r="13" spans="1:11" x14ac:dyDescent="0.25">
      <c r="A13" s="19" t="s">
        <v>56</v>
      </c>
      <c r="B13" s="20">
        <f>B9+B10+B11+B12</f>
        <v>25211765472.511623</v>
      </c>
      <c r="C13" s="20">
        <f>C9+C10+C11+C12</f>
        <v>32522114392.928062</v>
      </c>
      <c r="D13" s="20">
        <f>D9+D10+D11+D12</f>
        <v>40855093501.301735</v>
      </c>
      <c r="E13" s="20">
        <f>E9+E10+E11+E12</f>
        <v>50130320092.96948</v>
      </c>
      <c r="F13" s="20">
        <f>F9+F10+F11+F12</f>
        <v>60175636533.60569</v>
      </c>
      <c r="G13" s="20">
        <f>G9+G10+G11+G12</f>
        <v>70745888636.48166</v>
      </c>
      <c r="H13" s="20">
        <f>H9+H10+H11+H12</f>
        <v>81527799328.45123</v>
      </c>
      <c r="I13" s="20">
        <f>I9+I10+I11+I12</f>
        <v>92151552355.99997</v>
      </c>
      <c r="J13" s="20">
        <f>J9+J10+J11+J12</f>
        <v>102208980071.46278</v>
      </c>
      <c r="K13" s="20">
        <f>K9+K10+K11+K12</f>
        <v>111277454072.67903</v>
      </c>
    </row>
    <row r="14" spans="1:11" x14ac:dyDescent="0.25">
      <c r="A14" t="s">
        <v>57</v>
      </c>
      <c r="B14" s="21">
        <f>1/(1+Assumptions!$B$26)^(1-0.5*Assumptions!$B$32)</f>
        <v>0.9523234251428271</v>
      </c>
      <c r="C14" s="21">
        <f>1/(1+Assumptions!$B$26)^(2-0.5*Assumptions!$B$32)</f>
        <v>0.8636810712842842</v>
      </c>
      <c r="D14" s="21">
        <f>1/(1+Assumptions!$B$26)^(3-0.5*Assumptions!$B$32)</f>
        <v>0.7832895560485597</v>
      </c>
      <c r="E14" s="21">
        <f>1/(1+Assumptions!$B$26)^(4-0.5*Assumptions!$B$32)</f>
        <v>0.7103808906016881</v>
      </c>
      <c r="F14" s="21">
        <f>1/(1+Assumptions!$B$26)^(5-0.5*Assumptions!$B$32)</f>
        <v>0.6442585705825017</v>
      </c>
      <c r="G14" s="21">
        <f>1/(1+Assumptions!$B$26)^(6-0.5*Assumptions!$B$32)</f>
        <v>0.5842909223211895</v>
      </c>
      <c r="H14" s="21">
        <f>1/(1+Assumptions!$B$26)^(7-0.5*Assumptions!$B$32)</f>
        <v>0.5299050683924557</v>
      </c>
      <c r="I14" s="21">
        <f>1/(1+Assumptions!$B$26)^(8-0.5*Assumptions!$B$32)</f>
        <v>0.4805814548555582</v>
      </c>
      <c r="J14" s="21">
        <f>1/(1+Assumptions!$B$26)^(9-0.5*Assumptions!$B$32)</f>
        <v>0.43584888789935766</v>
      </c>
      <c r="K14" s="21">
        <f>1/(1+Assumptions!$B$26)^(10-0.5*Assumptions!$B$32)</f>
        <v>0.39528003247691235</v>
      </c>
    </row>
    <row r="15" spans="1:11" x14ac:dyDescent="0.25">
      <c r="A15" s="19" t="s">
        <v>58</v>
      </c>
      <c r="B15" s="20">
        <f>B13*B14</f>
        <v>24009754848.679935</v>
      </c>
      <c r="C15" s="20">
        <f>C13*C14</f>
        <v>28088734599.314148</v>
      </c>
      <c r="D15" s="20">
        <f>D13*D14</f>
        <v>32001368050.95703</v>
      </c>
      <c r="E15" s="20">
        <f>E13*E14</f>
        <v>35611621433.79136</v>
      </c>
      <c r="F15" s="20">
        <f>F13*F14</f>
        <v>38768669577.03297</v>
      </c>
      <c r="G15" s="20">
        <f>G13*G14</f>
        <v>41336180521.842026</v>
      </c>
      <c r="H15" s="20">
        <f>H13*H14</f>
        <v>43201994079.02935</v>
      </c>
      <c r="I15" s="20">
        <f>I13*I14</f>
        <v>44286327098.44461</v>
      </c>
      <c r="J15" s="20">
        <f>J13*J14</f>
        <v>44547670297.47466</v>
      </c>
      <c r="K15" s="20">
        <f>K13*K14</f>
        <v>43985755659.79669</v>
      </c>
    </row>
    <row r="17" spans="1:2" x14ac:dyDescent="0.25">
      <c r="A17" s="22" t="s">
        <v>59</v>
      </c>
      <c r="B17" s="23">
        <f>SUM(B15:K15)</f>
        <v>375838076166.3628</v>
      </c>
    </row>
    <row r="19" spans="1:11" x14ac:dyDescent="0.25">
      <c r="A19" t="s">
        <v>7</v>
      </c>
      <c r="B19" s="9">
        <f>Assumptions!$B$10+($B$20-Assumptions!$B$10)*0/9</f>
        <v>0.1323830668233175</v>
      </c>
      <c r="C19" s="9">
        <f>Assumptions!$B$10+($B$20-Assumptions!$B$10)*1/9</f>
        <v>0.12851591295831935</v>
      </c>
      <c r="D19" s="9">
        <f>Assumptions!$B$10+($B$20-Assumptions!$B$10)*2/9</f>
        <v>0.1246487590933212</v>
      </c>
      <c r="E19" s="9">
        <f>Assumptions!$B$10+($B$20-Assumptions!$B$10)*3/9</f>
        <v>0.12078160522832304</v>
      </c>
      <c r="F19" s="9">
        <f>Assumptions!$B$10+($B$20-Assumptions!$B$10)*4/9</f>
        <v>0.1169144513633249</v>
      </c>
      <c r="G19" s="9">
        <f>Assumptions!$B$10+($B$20-Assumptions!$B$10)*5/9</f>
        <v>0.11304729749832675</v>
      </c>
      <c r="H19" s="9">
        <f>Assumptions!$B$10+($B$20-Assumptions!$B$10)*6/9</f>
        <v>0.1091801436333286</v>
      </c>
      <c r="I19" s="9">
        <f>Assumptions!$B$10+($B$20-Assumptions!$B$10)*7/9</f>
        <v>0.10531298976833045</v>
      </c>
      <c r="J19" s="9">
        <f>Assumptions!$B$10+($B$20-Assumptions!$B$10)*8/9</f>
        <v>0.10144583590333231</v>
      </c>
      <c r="K19" s="9">
        <f>Assumptions!$B$10+($B$20-Assumptions!$B$10)*9/9</f>
        <v>0.09757868203833416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0.09757868203833416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111277454072.67903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132403371192.37602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0.1616036686383184</v>
      </c>
    </row>
    <row r="7" spans="1:2" x14ac:dyDescent="0.25">
      <c r="A7" t="s">
        <v>66</v>
      </c>
      <c r="B7" s="18">
        <f>-MAX(B5,0)*B6</f>
        <v>-21396870524.76901</v>
      </c>
    </row>
    <row r="8" spans="1:2" x14ac:dyDescent="0.25">
      <c r="A8" t="s">
        <v>67</v>
      </c>
      <c r="B8" s="18">
        <f>IF(OR(Assumptions!$B$33=0,Assumptions!B12&lt;=0),B5,MAX(B5+B7,0))</f>
        <v>111006500667.60701</v>
      </c>
    </row>
    <row r="9" spans="1:2" x14ac:dyDescent="0.25">
      <c r="A9" t="s">
        <v>68</v>
      </c>
      <c r="B9" s="18">
        <f>B8*(1+Assumptions!B12)/(Assumptions!B26-Assumptions!B12)</f>
        <v>1465631459776.397</v>
      </c>
    </row>
    <row r="10" spans="1:2" x14ac:dyDescent="0.25">
      <c r="A10" t="s">
        <v>69</v>
      </c>
      <c r="B10" s="18">
        <f>B9/(1+Assumptions!B26)^(10-0.5*Assumptions!B32)</f>
        <v>579334851019.5986</v>
      </c>
    </row>
    <row r="11" spans="1:2" x14ac:dyDescent="0.25">
      <c r="A11" t="s">
        <v>70</v>
      </c>
      <c r="B11" s="18">
        <f>Forecast!B17+B10</f>
        <v>955172927185.9614</v>
      </c>
    </row>
    <row r="12" spans="1:2" x14ac:dyDescent="0.25">
      <c r="A12" t="s">
        <v>71</v>
      </c>
      <c r="B12" s="18">
        <f>-Assumptions!B30</f>
        <v>-29958000000</v>
      </c>
    </row>
    <row r="13" spans="1:2" x14ac:dyDescent="0.25">
      <c r="A13" t="s">
        <v>72</v>
      </c>
      <c r="B13" s="18">
        <f>B11+B12</f>
        <v>925214927185.9614</v>
      </c>
    </row>
    <row r="14" spans="1:2" x14ac:dyDescent="0.25">
      <c r="A14" s="19" t="s">
        <v>73</v>
      </c>
      <c r="B14" s="24">
        <f>B13/Assumptions!B31</f>
        <v>85.45441278156105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279332963753.17737</v>
      </c>
    </row>
    <row r="18" spans="1:2" x14ac:dyDescent="0.25">
      <c r="A18" t="s">
        <v>68</v>
      </c>
      <c r="B18" s="18">
        <f>B17*Assumptions!B13</f>
        <v>5148426395639.511</v>
      </c>
    </row>
    <row r="19" spans="1:2" x14ac:dyDescent="0.25">
      <c r="A19" t="s">
        <v>69</v>
      </c>
      <c r="B19" s="18">
        <f>B18/(1+Assumptions!B26)^(10-0.5*Assumptions!B32)</f>
        <v>2035070152873.3787</v>
      </c>
    </row>
    <row r="20" spans="1:2" x14ac:dyDescent="0.25">
      <c r="A20" t="s">
        <v>70</v>
      </c>
      <c r="B20" s="18">
        <f>Forecast!B17+B19</f>
        <v>2410908229039.741</v>
      </c>
    </row>
    <row r="21" spans="1:2" x14ac:dyDescent="0.25">
      <c r="A21" t="s">
        <v>71</v>
      </c>
      <c r="B21" s="18">
        <f>-Assumptions!B30</f>
        <v>-29958000000</v>
      </c>
    </row>
    <row r="22" spans="1:2" x14ac:dyDescent="0.25">
      <c r="A22" t="s">
        <v>72</v>
      </c>
      <c r="B22" s="18">
        <f>B20+B21</f>
        <v>2380950229039.741</v>
      </c>
    </row>
    <row r="23" spans="1:2" x14ac:dyDescent="0.25">
      <c r="A23" s="19" t="s">
        <v>73</v>
      </c>
      <c r="B23" s="25">
        <f>B22/Assumptions!B31</f>
        <v>219.90858308300926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245.63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85.45441278156105</v>
      </c>
    </row>
    <row r="29" spans="1:2" x14ac:dyDescent="0.25">
      <c r="A29" s="19" t="s">
        <v>81</v>
      </c>
      <c r="B29" s="11">
        <f>B28/B26-1</f>
        <v>-0.6521010756765825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0.082633</v>
      </c>
      <c r="B5" s="31">
        <v>115.64326189925592</v>
      </c>
      <c r="C5" s="31">
        <v>118.24661297522879</v>
      </c>
      <c r="D5" s="31">
        <v>121.44409405846365</v>
      </c>
      <c r="E5" s="31">
        <v>125.40502762932323</v>
      </c>
      <c r="F5" s="31">
        <v>130.36983077920155</v>
      </c>
    </row>
    <row r="6" spans="1:6" x14ac:dyDescent="0.25">
      <c r="A6" s="30">
        <v>0.092633</v>
      </c>
      <c r="B6" s="31">
        <v>97.86783884243602</v>
      </c>
      <c r="C6" s="31">
        <v>99.14087600036778</v>
      </c>
      <c r="D6" s="31">
        <v>100.71685441121936</v>
      </c>
      <c r="E6" s="31">
        <v>102.66832558607602</v>
      </c>
      <c r="F6" s="31">
        <v>105.09301810856296</v>
      </c>
    </row>
    <row r="7" spans="1:6" x14ac:dyDescent="0.25">
      <c r="A7" s="30">
        <v>0.102633</v>
      </c>
      <c r="B7" s="31">
        <v>84.28577874221084</v>
      </c>
      <c r="C7" s="31">
        <v>84.79045401613081</v>
      </c>
      <c r="D7" s="32">
        <v>85.45468017021636</v>
      </c>
      <c r="E7" s="31">
        <v>86.31140728504361</v>
      </c>
      <c r="F7" s="31">
        <v>87.40332922915492</v>
      </c>
    </row>
    <row r="8" spans="1:6" x14ac:dyDescent="0.25">
      <c r="A8" s="30">
        <v>0.112633</v>
      </c>
      <c r="B8" s="31">
        <v>73.59971972636812</v>
      </c>
      <c r="C8" s="31">
        <v>73.64688966732608</v>
      </c>
      <c r="D8" s="31">
        <v>73.77874072213646</v>
      </c>
      <c r="E8" s="31">
        <v>74.01064467577365</v>
      </c>
      <c r="F8" s="31">
        <v>74.36193342939308</v>
      </c>
    </row>
    <row r="9" spans="1:6" x14ac:dyDescent="0.25">
      <c r="A9" s="30">
        <v>0.122633</v>
      </c>
      <c r="B9" s="31">
        <v>64.99511343669143</v>
      </c>
      <c r="C9" s="31">
        <v>64.76584999764877</v>
      </c>
      <c r="D9" s="31">
        <v>64.58054807595734</v>
      </c>
      <c r="E9" s="31">
        <v>64.44632633084521</v>
      </c>
      <c r="F9" s="31">
        <v>64.3719280741776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716924000000</v>
      </c>
      <c r="C5" s="18">
        <v>637959000000</v>
      </c>
      <c r="D5" s="18">
        <v>574785000000</v>
      </c>
      <c r="E5" s="18">
        <v>513983000000</v>
      </c>
      <c r="F5" s="6" t="s">
        <v>91</v>
      </c>
    </row>
    <row r="6" spans="1:6" x14ac:dyDescent="0.25">
      <c r="A6" t="s">
        <v>51</v>
      </c>
      <c r="B6" s="18">
        <v>79975000000</v>
      </c>
      <c r="C6" s="18">
        <v>68593000000</v>
      </c>
      <c r="D6" s="18">
        <v>36852000000</v>
      </c>
      <c r="E6" s="18">
        <v>12248000000</v>
      </c>
      <c r="F6" s="6" t="s">
        <v>92</v>
      </c>
    </row>
    <row r="7" spans="1:6" x14ac:dyDescent="0.25">
      <c r="A7" t="s">
        <v>93</v>
      </c>
      <c r="B7" s="18">
        <v>65756000000</v>
      </c>
      <c r="C7" s="18">
        <v>52795000000</v>
      </c>
      <c r="D7" s="18">
        <v>48663000000</v>
      </c>
      <c r="E7" s="18">
        <v>41921000000</v>
      </c>
      <c r="F7" s="6" t="s">
        <v>94</v>
      </c>
    </row>
    <row r="8" spans="1:6" x14ac:dyDescent="0.25">
      <c r="A8" t="s">
        <v>95</v>
      </c>
      <c r="B8" s="18">
        <v>131819000000</v>
      </c>
      <c r="C8" s="18">
        <v>82999000000</v>
      </c>
      <c r="D8" s="18">
        <v>52729000000</v>
      </c>
      <c r="E8" s="18">
        <v>63645000000</v>
      </c>
      <c r="F8" s="6" t="s">
        <v>96</v>
      </c>
    </row>
    <row r="9" spans="1:6" x14ac:dyDescent="0.25">
      <c r="A9" t="s">
        <v>97</v>
      </c>
      <c r="B9" s="18">
        <v>19969000000</v>
      </c>
      <c r="C9" s="18">
        <v>15541000000</v>
      </c>
      <c r="D9" s="18">
        <v>11541000000</v>
      </c>
      <c r="E9" s="18">
        <v>20886000000</v>
      </c>
      <c r="F9" s="6" t="s">
        <v>98</v>
      </c>
    </row>
    <row r="10" spans="1:6" x14ac:dyDescent="0.25">
      <c r="A10" t="s">
        <v>99</v>
      </c>
      <c r="B10" s="18">
        <v>152987000000</v>
      </c>
      <c r="C10" s="18">
        <v>130900000000</v>
      </c>
      <c r="D10" s="18">
        <v>135611000000</v>
      </c>
      <c r="E10" s="18">
        <v>140118000000</v>
      </c>
      <c r="F10" s="6" t="s">
        <v>100</v>
      </c>
    </row>
    <row r="11" spans="1:6" x14ac:dyDescent="0.25">
      <c r="A11" t="s">
        <v>101</v>
      </c>
      <c r="B11" s="18">
        <v>123029000000</v>
      </c>
      <c r="C11" s="18">
        <v>101202000000</v>
      </c>
      <c r="D11" s="18">
        <v>86780000000</v>
      </c>
      <c r="E11" s="18">
        <v>70026000000</v>
      </c>
      <c r="F11" s="6" t="s">
        <v>102</v>
      </c>
    </row>
    <row r="12" spans="1:6" x14ac:dyDescent="0.25">
      <c r="A12" t="s">
        <v>34</v>
      </c>
      <c r="B12" s="34">
        <v>10827000000</v>
      </c>
      <c r="C12" s="34">
        <v>10721000000</v>
      </c>
      <c r="D12" s="34">
        <v>10492000000</v>
      </c>
      <c r="E12" s="34">
        <v>10189000000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