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<sst xmlns="http://schemas.openxmlformats.org/spreadsheetml/2006/main" count="113" uniqueCount="101">
  <si>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Acciona, S.A. (ANA.MC)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</si>
  <si>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</si>
  <si>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</si>
  <si>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</si>
  <si>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</si>
  <si>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</si>
  <si>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</si>
  <si>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</si>
  <si>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</si>
  <si>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</si>
  <si>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</si>
  <si>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</si>
  <si>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</si>
  <si>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</si>
  <si>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</si>
  <si>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</si>
  <si>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</si>
  <si>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</si>
  <si>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</si>
  <si>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</si>
  <si>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</si>
  <si>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</si>
  <si>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</si>
  <si>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</si>
  <si>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</si>
  <si>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</si>
  <si>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</si>
  <si>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</si>
  <si>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</si>
  <si>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</si>
  <si>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</si>
  <si>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</si>
  <si>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</si>
  <si>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</si>
  <si>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</si>
  <si>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</si>
  <si>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</si>
  <si>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</si>
  <si>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</si>
  <si>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</si>
  <si>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</si>
  <si>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</si>
  <si>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</si>
  <si>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</si>
  <si>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</si>
  <si>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</si>
  <si>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</si>
  <si>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</si>
  <si>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</si>
  <si>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</si>
  <si>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</si>
  <si>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</si>
  <si>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</si>
  <si>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</si>
  <si>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</si>
  <si>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</si>
  <si>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</si>
  <si>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</si>
  <si>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</si>
  <si>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</si>
  <si>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</si>
  <si>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</si>
  <si>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</si>
  <si>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</si>
  <si>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</si>
  <si>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</si>
  <si>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</si>
  <si>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</si>
  <si>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</si>
  <si>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</si>
  <si>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</si>
  <si>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</si>
  <si>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</si>
  <si>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</si>
  <si>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</si>
  <si>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</si>
  <si>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</si>
  <si>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</si>
  <si>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</si>
  <si>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</si>
  <si>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</si>
  <si>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</si>
  <si>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</si>
  <si>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</si>
  <si>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</si>
  <si>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</si>
  <si>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</si>
  <si>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</si>
  <si>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</si>
  <si>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</si>
  <si>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</si>
  <si>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</si>
  <si>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</si>
  <si>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</si>
  <si>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</si>
  <si>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</si>
  <si>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</si>
  <si>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</si>
  <si>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14.9% of revenue against depreciation of 6.7%.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</si>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</sst>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0.21814837707437018</v>
      </c>
    </row>
    <row r="7" spans="1:2" x14ac:dyDescent="0.25">
      <c r="A7" t="s">
        <v>5</v>
      </c>
      <c r="B7" s="6">
        <v>0.07771428080999337</v>
      </c>
    </row>
    <row r="8" spans="1:2" x14ac:dyDescent="0.25">
      <c r="A8" t="s">
        <v>6</v>
      </c>
      <c r="B8" s="6">
        <v>0.22283990519284635</v>
      </c>
    </row>
    <row r="9" spans="1:2" x14ac:dyDescent="0.25">
      <c r="A9" t="s">
        <v>7</v>
      </c>
      <c r="B9" s="6">
        <v>0.06679385921565532</v>
      </c>
    </row>
    <row r="10" spans="1:2" x14ac:dyDescent="0.25">
      <c r="A10" t="s">
        <v>8</v>
      </c>
      <c r="B10" s="6">
        <v>0.1489567760183744</v>
      </c>
    </row>
    <row r="11" spans="1:2" x14ac:dyDescent="0.25">
      <c r="A11" t="s">
        <v>9</v>
      </c>
      <c r="B11" s="6">
        <v>-0.24066390041493776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5.834539015075377</v>
      </c>
    </row>
    <row r="14" spans="1:3" x14ac:dyDescent="0.25">
      <c r="A14" t="s">
        <v>12</v>
      </c>
      <c r="B14" s="6">
        <v>0.06649226589921378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0.87136</v>
      </c>
      <c r="C19" s="8" t="s">
        <v>19</v>
      </c>
    </row>
    <row r="20" spans="1:2" x14ac:dyDescent="0.25">
      <c r="A20" t="s">
        <v>20</v>
      </c>
      <c r="B20" s="10">
        <f>B17+B19*B18</f>
        <v>0.09863840000000001</v>
      </c>
    </row>
    <row r="21" spans="1:3" x14ac:dyDescent="0.25">
      <c r="A21" t="s">
        <v>21</v>
      </c>
      <c r="B21" s="6">
        <v>0.05192432144352659</v>
      </c>
      <c r="C21" s="8" t="s">
        <v>22</v>
      </c>
    </row>
    <row r="22" spans="1:2" x14ac:dyDescent="0.25">
      <c r="A22" t="s">
        <v>23</v>
      </c>
      <c r="B22" s="11">
        <v>11077172224</v>
      </c>
    </row>
    <row r="23" spans="1:2" x14ac:dyDescent="0.25">
      <c r="A23" t="s">
        <v>24</v>
      </c>
      <c r="B23" s="11">
        <v>13623000000</v>
      </c>
    </row>
    <row r="24" spans="1:2" x14ac:dyDescent="0.25">
      <c r="A24" t="s">
        <v>25</v>
      </c>
      <c r="B24" s="10">
        <f>B22/(B22+B23)</f>
        <v>0.4484653841092181</v>
      </c>
    </row>
    <row r="25" spans="1:2" x14ac:dyDescent="0.25">
      <c r="A25" t="s">
        <v>26</v>
      </c>
      <c r="B25" s="10">
        <f>1-B24</f>
        <v>0.5515346158907819</v>
      </c>
    </row>
    <row r="26" spans="1:2" x14ac:dyDescent="0.25">
      <c r="A26" t="s">
        <v>27</v>
      </c>
      <c r="B26" s="12">
        <f>B24*B20+B25*B21*(1-B8)</f>
        <v>0.06649226589921378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20236000000</v>
      </c>
      <c r="C29" s="8" t="s">
        <v>30</v>
      </c>
    </row>
    <row r="30" spans="1:2" x14ac:dyDescent="0.25">
      <c r="A30" t="s">
        <v>31</v>
      </c>
      <c r="B30" s="11">
        <v>7500000000</v>
      </c>
    </row>
    <row r="31" spans="1:2" x14ac:dyDescent="0.25">
      <c r="A31" t="s">
        <v>32</v>
      </c>
      <c r="B31" s="13">
        <v>54484561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0.21814837707437018</v>
      </c>
      <c r="C5" s="10">
        <f>Assumptions!B6</f>
        <v>0.21814837707437018</v>
      </c>
      <c r="D5" s="10">
        <f>Assumptions!B6</f>
        <v>0.21814837707437018</v>
      </c>
      <c r="E5" s="10">
        <f>Assumptions!B6</f>
        <v>0.21814837707437018</v>
      </c>
      <c r="F5" s="10">
        <f>Assumptions!B6</f>
        <v>0.21814837707437018</v>
      </c>
    </row>
    <row r="6" spans="1:6" x14ac:dyDescent="0.25">
      <c r="A6" t="s">
        <v>43</v>
      </c>
      <c r="B6" s="18">
        <f>Assumptions!B29*(1+B5)</f>
        <v>24650450558.476955</v>
      </c>
      <c r="C6" s="18">
        <f>B6*(1+C5)</f>
        <v>30027906341.960705</v>
      </c>
      <c r="D6" s="18">
        <f>C6*(1+D5)</f>
        <v>36578445377.40062</v>
      </c>
      <c r="E6" s="18">
        <f>D6*(1+E5)</f>
        <v>44557973872.38406</v>
      </c>
      <c r="F6" s="18">
        <f>E6*(1+F5)</f>
        <v>54278223558.36684</v>
      </c>
    </row>
    <row r="7" spans="1:6" x14ac:dyDescent="0.25">
      <c r="A7" t="s">
        <v>5</v>
      </c>
      <c r="B7" s="10">
        <f>Assumptions!B7</f>
        <v>0.07771428080999337</v>
      </c>
      <c r="C7" s="10">
        <f>Assumptions!B7</f>
        <v>0.07771428080999337</v>
      </c>
      <c r="D7" s="10">
        <f>Assumptions!B7</f>
        <v>0.07771428080999337</v>
      </c>
      <c r="E7" s="10">
        <f>Assumptions!B7</f>
        <v>0.07771428080999337</v>
      </c>
      <c r="F7" s="10">
        <f>Assumptions!B7</f>
        <v>0.07771428080999337</v>
      </c>
    </row>
    <row r="8" spans="1:6" x14ac:dyDescent="0.25">
      <c r="A8" t="s">
        <v>44</v>
      </c>
      <c r="B8" s="18">
        <f>B6*B7</f>
        <v>1915692036.794336</v>
      </c>
      <c r="C8" s="18">
        <f>C6*C7</f>
        <v>2333597145.595315</v>
      </c>
      <c r="D8" s="18">
        <f>D6*D7</f>
        <v>2842667575.6523156</v>
      </c>
      <c r="E8" s="18">
        <f>E6*E7</f>
        <v>3462790893.842803</v>
      </c>
      <c r="F8" s="18">
        <f>F6*F7</f>
        <v>4218193107.482518</v>
      </c>
    </row>
    <row r="9" spans="1:6" x14ac:dyDescent="0.25">
      <c r="A9" t="s">
        <v>45</v>
      </c>
      <c r="B9" s="18">
        <f>B8*(1-Assumptions!B8)</f>
        <v>1488799404.9363954</v>
      </c>
      <c r="C9" s="18">
        <f>C8*(1-Assumptions!B8)</f>
        <v>1813578578.912558</v>
      </c>
      <c r="D9" s="18">
        <f>D8*(1-Assumptions!B8)</f>
        <v>2209207802.599175</v>
      </c>
      <c r="E9" s="18">
        <f>E8*(1-Assumptions!B8)</f>
        <v>2691142899.356221</v>
      </c>
      <c r="F9" s="18">
        <f>F8*(1-Assumptions!B8)</f>
        <v>3278211355.325996</v>
      </c>
    </row>
    <row r="10" spans="1:6" x14ac:dyDescent="0.25">
      <c r="A10" t="s">
        <v>46</v>
      </c>
      <c r="B10" s="18">
        <f>B6*Assumptions!B9</f>
        <v>1646498724.2053819</v>
      </c>
      <c r="C10" s="18">
        <f>C6*Assumptions!B9</f>
        <v>2005679748.745807</v>
      </c>
      <c r="D10" s="18">
        <f>D6*Assumptions!B9</f>
        <v>2443215530.8656354</v>
      </c>
      <c r="E10" s="18">
        <f>E6*Assumptions!B9</f>
        <v>2976199033.7668695</v>
      </c>
      <c r="F10" s="18">
        <f>F6*Assumptions!B9</f>
        <v>3625452022.8334208</v>
      </c>
    </row>
    <row r="11" spans="1:6" x14ac:dyDescent="0.25">
      <c r="A11" t="s">
        <v>47</v>
      </c>
      <c r="B11" s="18">
        <f>-B6*Assumptions!B10</f>
        <v>-3671851642.591064</v>
      </c>
      <c r="C11" s="18">
        <f>-C6*Assumptions!B10</f>
        <v>-4472860119.280165</v>
      </c>
      <c r="D11" s="18">
        <f>-D6*Assumptions!B10</f>
        <v>-5448607295.181807</v>
      </c>
      <c r="E11" s="18">
        <f>-E6*Assumptions!B10</f>
        <v>-6637212133.941292</v>
      </c>
      <c r="F11" s="18">
        <f>-F6*Assumptions!B10</f>
        <v>-8085109189.258902</v>
      </c>
    </row>
    <row r="12" spans="1:6" x14ac:dyDescent="0.25">
      <c r="A12" t="s">
        <v>48</v>
      </c>
      <c r="B12" s="18">
        <f>-(B6-Assumptions!B29)*Assumptions!B11</f>
        <v>1062398889.5919644</v>
      </c>
      <c r="C12" s="18">
        <f>-(C6-B6)*Assumptions!B11</f>
        <v>1294159483.1620643</v>
      </c>
      <c r="D12" s="18">
        <f>-(D6-C6)*Assumptions!B11</f>
        <v>1576478274.0892742</v>
      </c>
      <c r="E12" s="18">
        <f>-(E6-D6)*Assumptions!B11</f>
        <v>1920384451.074854</v>
      </c>
      <c r="F12" s="18">
        <f>-(F6-E6)*Assumptions!B11</f>
        <v>2339313202.435688</v>
      </c>
    </row>
    <row r="13" spans="1:6" x14ac:dyDescent="0.25">
      <c r="A13" s="19" t="s">
        <v>49</v>
      </c>
      <c r="B13" s="20">
        <f>B9+B10+B11+B12</f>
        <v>525845376.1426774</v>
      </c>
      <c r="C13" s="20">
        <f>C9+C10+C11+C12</f>
        <v>640557691.5402648</v>
      </c>
      <c r="D13" s="20">
        <f>D9+D10+D11+D12</f>
        <v>780294312.372278</v>
      </c>
      <c r="E13" s="20">
        <f>E9+E10+E11+E12</f>
        <v>950514250.2566528</v>
      </c>
      <c r="F13" s="20">
        <f>F9+F10+F11+F12</f>
        <v>1157867391.3362026</v>
      </c>
    </row>
    <row r="14" spans="1:6" x14ac:dyDescent="0.25">
      <c r="A14" t="s">
        <v>50</v>
      </c>
      <c r="B14" s="21">
        <f>1/(1+Assumptions!$B$26)^(1-0.5*Assumptions!$B$32)</f>
        <v>0.9683250007049917</v>
      </c>
      <c r="C14" s="21">
        <f>1/(1+Assumptions!$B$26)^(2-0.5*Assumptions!$B$32)</f>
        <v>0.9079531391524418</v>
      </c>
      <c r="D14" s="21">
        <f>1/(1+Assumptions!$B$26)^(3-0.5*Assumptions!$B$32)</f>
        <v>0.8513452635185315</v>
      </c>
      <c r="E14" s="21">
        <f>1/(1+Assumptions!$B$26)^(4-0.5*Assumptions!$B$32)</f>
        <v>0.7982667017286985</v>
      </c>
      <c r="F14" s="21">
        <f>1/(1+Assumptions!$B$26)^(5-0.5*Assumptions!$B$32)</f>
        <v>0.7484974127361714</v>
      </c>
    </row>
    <row r="15" spans="1:6" x14ac:dyDescent="0.25">
      <c r="A15" s="19" t="s">
        <v>51</v>
      </c>
      <c r="B15" s="20">
        <f>B13*B14</f>
        <v>509189224.2240748</v>
      </c>
      <c r="C15" s="20">
        <f>C13*C14</f>
        <v>581596366.842225</v>
      </c>
      <c r="D15" s="20">
        <f>D13*D14</f>
        <v>664299866.9885883</v>
      </c>
      <c r="E15" s="20">
        <f>E13*E14</f>
        <v>758763875.498505</v>
      </c>
      <c r="F15" s="20">
        <f>F13*F14</f>
        <v>866660746.7067277</v>
      </c>
    </row>
    <row r="17" spans="1:2" x14ac:dyDescent="0.25">
      <c r="A17" s="22" t="s">
        <v>52</v>
      </c>
      <c r="B17" s="23">
        <f>SUM(B15:F15)</f>
        <v>3380510080.2601204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1157867391.3362026</v>
      </c>
    </row>
    <row r="5" spans="1:2" x14ac:dyDescent="0.25">
      <c r="A5" t="s">
        <v>56</v>
      </c>
      <c r="B5" s="18">
        <f>IF(Assumptions!$B$33=0,B4,B4-Forecast!F11-Forecast!F10-Forecast!F12)</f>
        <v>3278211355.325996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0.37598357736663635</v>
      </c>
    </row>
    <row r="7" spans="1:2" x14ac:dyDescent="0.25">
      <c r="A7" t="s">
        <v>58</v>
      </c>
      <c r="B7" s="18">
        <f>-MAX(Forecast!F9,0)*B6</f>
        <v>-1232553632.7393973</v>
      </c>
    </row>
    <row r="8" spans="1:2" x14ac:dyDescent="0.25">
      <c r="A8" t="s">
        <v>59</v>
      </c>
      <c r="B8" s="18">
        <f>IF(OR(Assumptions!$B$33=0,Assumptions!B12&lt;=0),B5,MAX(B5+B7,0))</f>
        <v>2045657722.5865986</v>
      </c>
    </row>
    <row r="9" spans="1:2" x14ac:dyDescent="0.25">
      <c r="A9" t="s">
        <v>60</v>
      </c>
      <c r="B9" s="18">
        <f>B8*(1+Assumptions!B12)/(Assumptions!B26-Assumptions!B12)</f>
        <v>50534698942.31529</v>
      </c>
    </row>
    <row r="10" spans="1:2" x14ac:dyDescent="0.25">
      <c r="A10" t="s">
        <v>61</v>
      </c>
      <c r="B10" s="18">
        <f>B9/(1+Assumptions!B26)^(5-0.5*Assumptions!B32)</f>
        <v>37825091411.724335</v>
      </c>
    </row>
    <row r="11" spans="1:2" x14ac:dyDescent="0.25">
      <c r="A11" t="s">
        <v>62</v>
      </c>
      <c r="B11" s="18">
        <f>Forecast!B17+B10</f>
        <v>41205601491.98445</v>
      </c>
    </row>
    <row r="12" spans="1:2" x14ac:dyDescent="0.25">
      <c r="A12" t="s">
        <v>63</v>
      </c>
      <c r="B12" s="18">
        <f>-Assumptions!B30</f>
        <v>-7500000000</v>
      </c>
    </row>
    <row r="13" spans="1:2" x14ac:dyDescent="0.25">
      <c r="A13" t="s">
        <v>64</v>
      </c>
      <c r="B13" s="18">
        <f>B11+B12</f>
        <v>33705601491.98445</v>
      </c>
    </row>
    <row r="14" spans="1:2" x14ac:dyDescent="0.25">
      <c r="A14" s="19" t="s">
        <v>65</v>
      </c>
      <c r="B14" s="24">
        <f>B13/Assumptions!B31</f>
        <v>618.6266508045178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7843645130.315939</v>
      </c>
    </row>
    <row r="18" spans="1:2" x14ac:dyDescent="0.25">
      <c r="A18" t="s">
        <v>60</v>
      </c>
      <c r="B18" s="18">
        <f>B17*Assumptions!B13</f>
        <v>45764053533.23434</v>
      </c>
    </row>
    <row r="19" spans="1:2" x14ac:dyDescent="0.25">
      <c r="A19" t="s">
        <v>61</v>
      </c>
      <c r="B19" s="18">
        <f>B18/(1+Assumptions!B26)^(5-0.5*Assumptions!B32)</f>
        <v>34254275665.945545</v>
      </c>
    </row>
    <row r="20" spans="1:2" x14ac:dyDescent="0.25">
      <c r="A20" t="s">
        <v>62</v>
      </c>
      <c r="B20" s="18">
        <f>Forecast!B17+B19</f>
        <v>37634785746.205666</v>
      </c>
    </row>
    <row r="21" spans="1:2" x14ac:dyDescent="0.25">
      <c r="A21" t="s">
        <v>63</v>
      </c>
      <c r="B21" s="18">
        <f>-Assumptions!B30</f>
        <v>-7500000000</v>
      </c>
    </row>
    <row r="22" spans="1:2" x14ac:dyDescent="0.25">
      <c r="A22" t="s">
        <v>64</v>
      </c>
      <c r="B22" s="18">
        <f>B20+B21</f>
        <v>30134785746.205666</v>
      </c>
    </row>
    <row r="23" spans="1:2" x14ac:dyDescent="0.25">
      <c r="A23" s="19" t="s">
        <v>65</v>
      </c>
      <c r="B23" s="25">
        <f>B22/Assumptions!B31</f>
        <v>553.0885299086041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208.2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618.6266508045178</v>
      </c>
    </row>
    <row r="29" spans="1:2" x14ac:dyDescent="0.25">
      <c r="A29" s="19" t="s">
        <v>73</v>
      </c>
      <c r="B29" s="12">
        <f>B28/B26-1</f>
        <v>1.9713095619813537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0.046492</v>
      </c>
      <c r="B5" s="31">
        <v>1141.0992110775721</v>
      </c>
      <c r="C5" s="31">
        <v>1230.97681565844</v>
      </c>
      <c r="D5" s="31">
        <v>1360.9063520720592</v>
      </c>
      <c r="E5" s="31">
        <v>1567.3163297467156</v>
      </c>
      <c r="F5" s="31">
        <v>1950.0332905302664</v>
      </c>
    </row>
    <row r="6" spans="1:6" x14ac:dyDescent="0.25">
      <c r="A6" s="30">
        <v>0.056492</v>
      </c>
      <c r="B6" s="31">
        <v>808.374542835387</v>
      </c>
      <c r="C6" s="31">
        <v>832.5001140226921</v>
      </c>
      <c r="D6" s="31">
        <v>863.1310487490182</v>
      </c>
      <c r="E6" s="31">
        <v>903.9507402306319</v>
      </c>
      <c r="F6" s="31">
        <v>962.0702693966849</v>
      </c>
    </row>
    <row r="7" spans="1:6" x14ac:dyDescent="0.25">
      <c r="A7" s="30">
        <v>0.066492</v>
      </c>
      <c r="B7" s="31">
        <v>611.8571892102069</v>
      </c>
      <c r="C7" s="31">
        <v>615.2437189448713</v>
      </c>
      <c r="D7" s="32">
        <v>618.6302486795355</v>
      </c>
      <c r="E7" s="31">
        <v>622.0167784141998</v>
      </c>
      <c r="F7" s="31">
        <v>625.403308148864</v>
      </c>
    </row>
    <row r="8" spans="1:6" x14ac:dyDescent="0.25">
      <c r="A8" s="30">
        <v>0.076492</v>
      </c>
      <c r="B8" s="31">
        <v>495.8303575626552</v>
      </c>
      <c r="C8" s="31">
        <v>498.6530843986851</v>
      </c>
      <c r="D8" s="31">
        <v>501.4758112347149</v>
      </c>
      <c r="E8" s="31">
        <v>504.2985380707448</v>
      </c>
      <c r="F8" s="31">
        <v>507.12126490677474</v>
      </c>
    </row>
    <row r="9" spans="1:6" x14ac:dyDescent="0.25">
      <c r="A9" s="30">
        <v>0.086492</v>
      </c>
      <c r="B9" s="31">
        <v>407.4154826600489</v>
      </c>
      <c r="C9" s="31">
        <v>409.81011123702245</v>
      </c>
      <c r="D9" s="31">
        <v>412.2047398139959</v>
      </c>
      <c r="E9" s="31">
        <v>414.5993683909694</v>
      </c>
      <c r="F9" s="31">
        <v>416.9939969679429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20236000000</v>
      </c>
      <c r="C5" s="18">
        <v>19190000000</v>
      </c>
      <c r="D5" s="18">
        <v>17021000000</v>
      </c>
      <c r="E5" s="18">
        <v>11195000000</v>
      </c>
      <c r="F5" s="8" t="s">
        <v>84</v>
      </c>
    </row>
    <row r="6" spans="1:6" x14ac:dyDescent="0.25">
      <c r="A6" t="s">
        <v>44</v>
      </c>
      <c r="B6" s="18">
        <v>1812000000</v>
      </c>
      <c r="C6" s="18">
        <v>1019000000</v>
      </c>
      <c r="D6" s="18">
        <v>1101000000</v>
      </c>
      <c r="E6" s="18">
        <v>1159000000</v>
      </c>
      <c r="F6" s="8" t="s">
        <v>85</v>
      </c>
    </row>
    <row r="7" spans="1:6" x14ac:dyDescent="0.25">
      <c r="A7" t="s">
        <v>86</v>
      </c>
      <c r="B7" s="18">
        <v>1372000000</v>
      </c>
      <c r="C7" s="18">
        <v>1139000000</v>
      </c>
      <c r="D7" s="18">
        <v>1094000000</v>
      </c>
      <c r="E7" s="18">
        <v>848000000</v>
      </c>
      <c r="F7" s="8" t="s">
        <v>87</v>
      </c>
    </row>
    <row r="8" spans="1:6" x14ac:dyDescent="0.25">
      <c r="A8" t="s">
        <v>88</v>
      </c>
      <c r="B8" s="18">
        <v>1769000000</v>
      </c>
      <c r="C8" s="18">
        <v>2731000000</v>
      </c>
      <c r="D8" s="18">
        <v>2894000000</v>
      </c>
      <c r="E8" s="18">
        <v>2195000000</v>
      </c>
      <c r="F8" s="8" t="s">
        <v>89</v>
      </c>
    </row>
    <row r="9" spans="1:6" x14ac:dyDescent="0.25">
      <c r="A9" t="s">
        <v>90</v>
      </c>
      <c r="B9" s="18">
        <v>-770000000</v>
      </c>
      <c r="C9" s="18">
        <v>-522000000</v>
      </c>
      <c r="D9" s="18">
        <v>-225000000</v>
      </c>
      <c r="E9" s="18">
        <v>-135000000</v>
      </c>
      <c r="F9" s="8" t="s">
        <v>91</v>
      </c>
    </row>
    <row r="10" spans="1:6" x14ac:dyDescent="0.25">
      <c r="A10" t="s">
        <v>92</v>
      </c>
      <c r="B10" s="18">
        <v>13623000000</v>
      </c>
      <c r="C10" s="18">
        <v>12646000000</v>
      </c>
      <c r="D10" s="18">
        <v>11215000000</v>
      </c>
      <c r="E10" s="18">
        <v>7937000000</v>
      </c>
      <c r="F10" s="8" t="s">
        <v>93</v>
      </c>
    </row>
    <row r="11" spans="1:6" x14ac:dyDescent="0.25">
      <c r="A11" t="s">
        <v>94</v>
      </c>
      <c r="B11" s="18">
        <v>6123000000</v>
      </c>
      <c r="C11" s="18">
        <v>4816000000</v>
      </c>
      <c r="D11" s="18">
        <v>4306000000</v>
      </c>
      <c r="E11" s="18">
        <v>2663000000</v>
      </c>
      <c r="F11" s="8" t="s">
        <v>95</v>
      </c>
    </row>
    <row r="12" spans="1:6" x14ac:dyDescent="0.25">
      <c r="A12" t="s">
        <v>32</v>
      </c>
      <c r="B12" s="34">
        <v>54484561</v>
      </c>
      <c r="C12" s="34">
        <v>54477122</v>
      </c>
      <c r="D12" s="34">
        <v>54723941</v>
      </c>
      <c r="E12" s="34">
        <v>54684851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2026-09-19T00:07:18Z</dcterms:modified>
</cp:coreProperties>
</file>