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<sst xmlns="http://schemas.openxmlformats.org/spreadsheetml/2006/main" count="114" uniqueCount="102">
  <si>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Corporación Acciona Energías Renovables, S.A. (ANE.MC)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</si>
  <si>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</si>
  <si>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</si>
  <si>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</si>
  <si>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</si>
  <si>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</si>
  <si>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</si>
  <si>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</si>
  <si>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</si>
  <si>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</si>
  <si>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</si>
  <si>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</si>
  <si>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</si>
  <si>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</si>
  <si>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</si>
  <si>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</si>
  <si>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</si>
  <si>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</si>
  <si>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</si>
  <si>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</si>
  <si>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</si>
  <si>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</si>
  <si>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</si>
  <si>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</si>
  <si>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</si>
  <si>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</si>
  <si>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</si>
  <si>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</si>
  <si>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</si>
  <si>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</si>
  <si>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</si>
  <si>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</si>
  <si>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</si>
  <si>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</si>
  <si>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</si>
  <si>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</si>
  <si>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</si>
  <si>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</si>
  <si>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</si>
  <si>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</si>
  <si>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</si>
  <si>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</si>
  <si>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</si>
  <si>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</si>
  <si>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</si>
  <si>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</si>
  <si>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</si>
  <si>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</si>
  <si>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</si>
  <si>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</si>
  <si>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</si>
  <si>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</si>
  <si>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</si>
  <si>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</si>
  <si>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</si>
  <si>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</si>
  <si>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</si>
  <si>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</si>
  <si>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</si>
  <si>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</si>
  <si>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</si>
  <si>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</si>
  <si>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</si>
  <si>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</si>
  <si>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</si>
  <si>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</si>
  <si>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</si>
  <si>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</si>
  <si>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</si>
  <si>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</si>
  <si>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</si>
  <si>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</si>
  <si>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</si>
  <si>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</si>
  <si>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</si>
  <si>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</si>
  <si>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</si>
  <si>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</si>
  <si>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</si>
  <si>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</si>
  <si>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</si>
  <si>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</si>
  <si>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</si>
  <si>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</si>
  <si>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</si>
  <si>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</si>
  <si>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</si>
  <si>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</si>
  <si>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</si>
  <si>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</si>
  <si>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</si>
  <si>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</si>
  <si>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</si>
  <si>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</si>
  <si>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</si>
  <si>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</si>
  <si>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</si>
  <si>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</si>
  <si>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</si>
  <si>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41.6% of revenue against depreciation of 14.7%.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</si>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</sst>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-0.1239835482494216</v>
      </c>
    </row>
    <row r="7" spans="1:2" x14ac:dyDescent="0.25">
      <c r="A7" t="s">
        <v>5</v>
      </c>
      <c r="B7" s="6">
        <v>0.2557516279628775</v>
      </c>
    </row>
    <row r="8" spans="1:2" x14ac:dyDescent="0.25">
      <c r="A8" t="s">
        <v>6</v>
      </c>
      <c r="B8" s="6">
        <v>0.22248338482434826</v>
      </c>
    </row>
    <row r="9" spans="1:2" x14ac:dyDescent="0.25">
      <c r="A9" t="s">
        <v>7</v>
      </c>
      <c r="B9" s="6">
        <v>0.14675424453177743</v>
      </c>
    </row>
    <row r="10" spans="1:2" x14ac:dyDescent="0.25">
      <c r="A10" t="s">
        <v>8</v>
      </c>
      <c r="B10" s="6">
        <v>0.41641911199137527</v>
      </c>
    </row>
    <row r="11" spans="1:2" x14ac:dyDescent="0.25">
      <c r="A11" t="s">
        <v>9</v>
      </c>
      <c r="B11" s="6">
        <v>0.024390243902439025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7.400330916930882</v>
      </c>
    </row>
    <row r="14" spans="1:3" x14ac:dyDescent="0.25">
      <c r="A14" t="s">
        <v>12</v>
      </c>
      <c r="B14" s="6">
        <v>0.06810798821999076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0.67639</v>
      </c>
      <c r="C19" s="8" t="s">
        <v>19</v>
      </c>
    </row>
    <row r="20" spans="1:2" x14ac:dyDescent="0.25">
      <c r="A20" t="s">
        <v>20</v>
      </c>
      <c r="B20" s="10">
        <f>B17+B19*B18</f>
        <v>0.08596535000000001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6971321856</v>
      </c>
    </row>
    <row r="23" spans="1:2" x14ac:dyDescent="0.25">
      <c r="A23" t="s">
        <v>24</v>
      </c>
      <c r="B23" s="11">
        <v>5164000000</v>
      </c>
    </row>
    <row r="24" spans="1:2" x14ac:dyDescent="0.25">
      <c r="A24" t="s">
        <v>25</v>
      </c>
      <c r="B24" s="10">
        <f>B22/(B22+B23)</f>
        <v>0.5744653449428874</v>
      </c>
    </row>
    <row r="25" spans="1:2" x14ac:dyDescent="0.25">
      <c r="A25" t="s">
        <v>26</v>
      </c>
      <c r="B25" s="10">
        <f>1-B24</f>
        <v>0.42553465505711263</v>
      </c>
    </row>
    <row r="26" spans="1:2" x14ac:dyDescent="0.25">
      <c r="A26" t="s">
        <v>27</v>
      </c>
      <c r="B26" s="12">
        <f>B24*B20+B25*B21*(1-B8)</f>
        <v>0.06328024555576373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2925000000</v>
      </c>
      <c r="C29" s="8" t="s">
        <v>30</v>
      </c>
    </row>
    <row r="30" spans="1:2" x14ac:dyDescent="0.25">
      <c r="A30" t="s">
        <v>31</v>
      </c>
      <c r="B30" s="11">
        <v>4699000000</v>
      </c>
    </row>
    <row r="31" spans="1:2" x14ac:dyDescent="0.25">
      <c r="A31" t="s">
        <v>32</v>
      </c>
      <c r="B31" s="13">
        <v>324505465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-0.1239835482494216</v>
      </c>
      <c r="C5" s="10">
        <f>Assumptions!B6</f>
        <v>-0.1239835482494216</v>
      </c>
      <c r="D5" s="10">
        <f>Assumptions!B6</f>
        <v>-0.1239835482494216</v>
      </c>
      <c r="E5" s="10">
        <f>Assumptions!B6</f>
        <v>-0.1239835482494216</v>
      </c>
      <c r="F5" s="10">
        <f>Assumptions!B6</f>
        <v>-0.1239835482494216</v>
      </c>
    </row>
    <row r="6" spans="1:6" x14ac:dyDescent="0.25">
      <c r="A6" t="s">
        <v>43</v>
      </c>
      <c r="B6" s="18">
        <f>Assumptions!B29*(1+B5)</f>
        <v>2562348121.370442</v>
      </c>
      <c r="C6" s="18">
        <f>B6*(1+C5)</f>
        <v>2244659109.432695</v>
      </c>
      <c r="D6" s="18">
        <f>C6*(1+D5)</f>
        <v>1966358308.4348426</v>
      </c>
      <c r="E6" s="18">
        <f>D6*(1+E5)</f>
        <v>1722562228.2253602</v>
      </c>
      <c r="F6" s="18">
        <f>E6*(1+F5)</f>
        <v>1508992851.08955</v>
      </c>
    </row>
    <row r="7" spans="1:6" x14ac:dyDescent="0.25">
      <c r="A7" t="s">
        <v>5</v>
      </c>
      <c r="B7" s="10">
        <f>Assumptions!B7</f>
        <v>0.2557516279628775</v>
      </c>
      <c r="C7" s="10">
        <f>Assumptions!B7</f>
        <v>0.2557516279628775</v>
      </c>
      <c r="D7" s="10">
        <f>Assumptions!B7</f>
        <v>0.2557516279628775</v>
      </c>
      <c r="E7" s="10">
        <f>Assumptions!B7</f>
        <v>0.2557516279628775</v>
      </c>
      <c r="F7" s="10">
        <f>Assumptions!B7</f>
        <v>0.2557516279628775</v>
      </c>
    </row>
    <row r="8" spans="1:6" x14ac:dyDescent="0.25">
      <c r="A8" t="s">
        <v>44</v>
      </c>
      <c r="B8" s="18">
        <f>B6*B7</f>
        <v>655324703.4481113</v>
      </c>
      <c r="C8" s="18">
        <f>C6*C7</f>
        <v>574075221.4591144</v>
      </c>
      <c r="D8" s="18">
        <f>D6*D7</f>
        <v>502899338.54054093</v>
      </c>
      <c r="E8" s="18">
        <f>E6*E7</f>
        <v>440548094.13599753</v>
      </c>
      <c r="F8" s="18">
        <f>F6*F7</f>
        <v>385927378.2504964</v>
      </c>
    </row>
    <row r="9" spans="1:6" x14ac:dyDescent="0.25">
      <c r="A9" t="s">
        <v>45</v>
      </c>
      <c r="B9" s="18">
        <f>B8*(1-Assumptions!B8)</f>
        <v>509525845.26596326</v>
      </c>
      <c r="C9" s="18">
        <f>C8*(1-Assumptions!B8)</f>
        <v>446353023.0451033</v>
      </c>
      <c r="D9" s="18">
        <f>D8*(1-Assumptions!B8)</f>
        <v>391012591.4761156</v>
      </c>
      <c r="E9" s="18">
        <f>E8*(1-Assumptions!B8)</f>
        <v>342533462.9747052</v>
      </c>
      <c r="F9" s="18">
        <f>F8*(1-Assumptions!B8)</f>
        <v>300064948.8409394</v>
      </c>
    </row>
    <row r="10" spans="1:6" x14ac:dyDescent="0.25">
      <c r="A10" t="s">
        <v>46</v>
      </c>
      <c r="B10" s="18">
        <f>B6*Assumptions!B9</f>
        <v>376035462.7791383</v>
      </c>
      <c r="C10" s="18">
        <f>C6*Assumptions!B9</f>
        <v>329413251.83616745</v>
      </c>
      <c r="D10" s="18">
        <f>D6*Assumptions!B9</f>
        <v>288571428.0331391</v>
      </c>
      <c r="E10" s="18">
        <f>E6*Assumptions!B9</f>
        <v>252793318.46218792</v>
      </c>
      <c r="F10" s="18">
        <f>F6*Assumptions!B9</f>
        <v>221451105.86549982</v>
      </c>
    </row>
    <row r="11" spans="1:6" x14ac:dyDescent="0.25">
      <c r="A11" t="s">
        <v>47</v>
      </c>
      <c r="B11" s="18">
        <f>-B6*Assumptions!B10</f>
        <v>-1067010729.3138481</v>
      </c>
      <c r="C11" s="18">
        <f>-C6*Assumptions!B10</f>
        <v>-934718953.0733141</v>
      </c>
      <c r="D11" s="18">
        <f>-D6*Assumptions!B10</f>
        <v>-818829180.6552999</v>
      </c>
      <c r="E11" s="18">
        <f>-E6*Assumptions!B10</f>
        <v>-717307833.4274892</v>
      </c>
      <c r="F11" s="18">
        <f>-F6*Assumptions!B10</f>
        <v>-628373463.052044</v>
      </c>
    </row>
    <row r="12" spans="1:6" x14ac:dyDescent="0.25">
      <c r="A12" t="s">
        <v>48</v>
      </c>
      <c r="B12" s="18">
        <f>-(B6-Assumptions!B29)*Assumptions!B11</f>
        <v>8845167.771452637</v>
      </c>
      <c r="C12" s="18">
        <f>-(C6-B6)*Assumptions!B11</f>
        <v>7748512.486286513</v>
      </c>
      <c r="D12" s="18">
        <f>-(D6-C6)*Assumptions!B11</f>
        <v>6787824.4145817645</v>
      </c>
      <c r="E12" s="18">
        <f>-(E6-D6)*Assumptions!B11</f>
        <v>5946245.858767864</v>
      </c>
      <c r="F12" s="18">
        <f>-(F6-E6)*Assumptions!B11</f>
        <v>5209009.198434394</v>
      </c>
    </row>
    <row r="13" spans="1:6" x14ac:dyDescent="0.25">
      <c r="A13" s="19" t="s">
        <v>49</v>
      </c>
      <c r="B13" s="20">
        <f>B9+B10+B11+B12</f>
        <v>-172604253.49729386</v>
      </c>
      <c r="C13" s="20">
        <f>C9+C10+C11+C12</f>
        <v>-151204165.70575678</v>
      </c>
      <c r="D13" s="20">
        <f>D9+D10+D11+D12</f>
        <v>-132457336.73146345</v>
      </c>
      <c r="E13" s="20">
        <f>E9+E10+E11+E12</f>
        <v>-116034806.13182819</v>
      </c>
      <c r="F13" s="20">
        <f>F9+F10+F11+F12</f>
        <v>-101648399.14717038</v>
      </c>
    </row>
    <row r="14" spans="1:6" x14ac:dyDescent="0.25">
      <c r="A14" t="s">
        <v>50</v>
      </c>
      <c r="B14" s="21">
        <f>1/(1+Assumptions!$B$26)^(1-0.5*Assumptions!$B$32)</f>
        <v>0.9697864847427288</v>
      </c>
      <c r="C14" s="21">
        <f>1/(1+Assumptions!$B$26)^(2-0.5*Assumptions!$B$32)</f>
        <v>0.9120704431368734</v>
      </c>
      <c r="D14" s="21">
        <f>1/(1+Assumptions!$B$26)^(3-0.5*Assumptions!$B$32)</f>
        <v>0.8577893240743367</v>
      </c>
      <c r="E14" s="21">
        <f>1/(1+Assumptions!$B$26)^(4-0.5*Assumptions!$B$32)</f>
        <v>0.8067387009771638</v>
      </c>
      <c r="F14" s="21">
        <f>1/(1+Assumptions!$B$26)^(5-0.5*Assumptions!$B$32)</f>
        <v>0.7587263135463327</v>
      </c>
    </row>
    <row r="15" spans="1:6" x14ac:dyDescent="0.25">
      <c r="A15" s="19" t="s">
        <v>51</v>
      </c>
      <c r="B15" s="20">
        <f>B13*B14</f>
        <v>-167389272.25078347</v>
      </c>
      <c r="C15" s="20">
        <f>C13*C14</f>
        <v>-137908850.41939083</v>
      </c>
      <c r="D15" s="20">
        <f>D13*D14</f>
        <v>-113620489.34356885</v>
      </c>
      <c r="E15" s="20">
        <f>E13*E14</f>
        <v>-93609768.76692812</v>
      </c>
      <c r="F15" s="20">
        <f>F13*F14</f>
        <v>-77123315.16281877</v>
      </c>
    </row>
    <row r="17" spans="1:2" x14ac:dyDescent="0.25">
      <c r="A17" s="22" t="s">
        <v>52</v>
      </c>
      <c r="B17" s="23">
        <f>SUM(B15:F15)</f>
        <v>-589651695.94349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-101648399.14717038</v>
      </c>
    </row>
    <row r="5" spans="1:2" x14ac:dyDescent="0.25">
      <c r="A5" t="s">
        <v>56</v>
      </c>
      <c r="B5" s="18">
        <f>IF(Assumptions!$B$33=0,B4,B4-Forecast!F11-Forecast!F10-Forecast!F12)</f>
        <v>300064948.8409394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0.36706413819256095</v>
      </c>
    </row>
    <row r="7" spans="1:2" x14ac:dyDescent="0.25">
      <c r="A7" t="s">
        <v>58</v>
      </c>
      <c r="B7" s="18">
        <f>-MAX(Forecast!F9,0)*B6</f>
        <v>-110143081.84809431</v>
      </c>
    </row>
    <row r="8" spans="1:2" x14ac:dyDescent="0.25">
      <c r="A8" t="s">
        <v>59</v>
      </c>
      <c r="B8" s="18">
        <f>IF(OR(Assumptions!$B$33=0,Assumptions!B12&lt;=0),B5,MAX(B5+B7,0))</f>
        <v>189921866.9928451</v>
      </c>
    </row>
    <row r="9" spans="1:2" x14ac:dyDescent="0.25">
      <c r="A9" t="s">
        <v>60</v>
      </c>
      <c r="B9" s="18">
        <f>B8*(1+Assumptions!B12)/(Assumptions!B26-Assumptions!B12)</f>
        <v>5085388320.826887</v>
      </c>
    </row>
    <row r="10" spans="1:2" x14ac:dyDescent="0.25">
      <c r="A10" t="s">
        <v>61</v>
      </c>
      <c r="B10" s="18">
        <f>B9/(1+Assumptions!B26)^(5-0.5*Assumptions!B32)</f>
        <v>3858417933.612559</v>
      </c>
    </row>
    <row r="11" spans="1:2" x14ac:dyDescent="0.25">
      <c r="A11" t="s">
        <v>62</v>
      </c>
      <c r="B11" s="18">
        <f>Forecast!B17+B10</f>
        <v>3268766237.669069</v>
      </c>
    </row>
    <row r="12" spans="1:2" x14ac:dyDescent="0.25">
      <c r="A12" t="s">
        <v>63</v>
      </c>
      <c r="B12" s="18">
        <f>-Assumptions!B30</f>
        <v>-4699000000</v>
      </c>
    </row>
    <row r="13" spans="1:2" x14ac:dyDescent="0.25">
      <c r="A13" t="s">
        <v>64</v>
      </c>
      <c r="B13" s="18">
        <f>B11+B12</f>
        <v>-1430233762.3309312</v>
      </c>
    </row>
    <row r="14" spans="1:2" x14ac:dyDescent="0.25">
      <c r="A14" s="19" t="s">
        <v>65</v>
      </c>
      <c r="B14" s="24">
        <f>B13/Assumptions!B31</f>
        <v>-4.4074258112446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607378484.1159962</v>
      </c>
    </row>
    <row r="18" spans="1:2" x14ac:dyDescent="0.25">
      <c r="A18" t="s">
        <v>60</v>
      </c>
      <c r="B18" s="18">
        <f>B17*Assumptions!B13</f>
        <v>4494801774.28222</v>
      </c>
    </row>
    <row r="19" spans="1:2" x14ac:dyDescent="0.25">
      <c r="A19" t="s">
        <v>61</v>
      </c>
      <c r="B19" s="18">
        <f>B18/(1+Assumptions!B26)^(5-0.5*Assumptions!B32)</f>
        <v>3410324380.3226643</v>
      </c>
    </row>
    <row r="20" spans="1:2" x14ac:dyDescent="0.25">
      <c r="A20" t="s">
        <v>62</v>
      </c>
      <c r="B20" s="18">
        <f>Forecast!B17+B19</f>
        <v>2820672684.379174</v>
      </c>
    </row>
    <row r="21" spans="1:2" x14ac:dyDescent="0.25">
      <c r="A21" t="s">
        <v>63</v>
      </c>
      <c r="B21" s="18">
        <f>-Assumptions!B30</f>
        <v>-4699000000</v>
      </c>
    </row>
    <row r="22" spans="1:2" x14ac:dyDescent="0.25">
      <c r="A22" t="s">
        <v>64</v>
      </c>
      <c r="B22" s="18">
        <f>B20+B21</f>
        <v>-1878327315.6208258</v>
      </c>
    </row>
    <row r="23" spans="1:2" x14ac:dyDescent="0.25">
      <c r="A23" s="19" t="s">
        <v>65</v>
      </c>
      <c r="B23" s="25">
        <f>B22/Assumptions!B31</f>
        <v>-5.788276371927437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21.48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-4.4074258112446</v>
      </c>
    </row>
    <row r="29" spans="1:2" x14ac:dyDescent="0.25">
      <c r="A29" s="19" t="s">
        <v>73</v>
      </c>
      <c r="B29" s="12">
        <f>B28/B26-1</f>
        <v>-1.2051874213801024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0.04328</v>
      </c>
      <c r="B5" s="31">
        <v>5.013580170986769</v>
      </c>
      <c r="C5" s="31">
        <v>7.276877826404901</v>
      </c>
      <c r="D5" s="31">
        <v>10.747614139022426</v>
      </c>
      <c r="E5" s="31">
        <v>16.789612893326606</v>
      </c>
      <c r="F5" s="31">
        <v>30.060958222807816</v>
      </c>
    </row>
    <row r="6" spans="1:6" x14ac:dyDescent="0.25">
      <c r="A6" s="30">
        <v>0.05328</v>
      </c>
      <c r="B6" s="31">
        <v>-1.1987992781504642</v>
      </c>
      <c r="C6" s="31">
        <v>-0.4862034202042032</v>
      </c>
      <c r="D6" s="31">
        <v>0.4593674551883054</v>
      </c>
      <c r="E6" s="31">
        <v>1.7880261170001608</v>
      </c>
      <c r="F6" s="31">
        <v>3.814122499382908</v>
      </c>
    </row>
    <row r="7" spans="1:6" x14ac:dyDescent="0.25">
      <c r="A7" s="30">
        <v>0.06328</v>
      </c>
      <c r="B7" s="31">
        <v>-4.796473174365036</v>
      </c>
      <c r="C7" s="31">
        <v>-4.618433162691973</v>
      </c>
      <c r="D7" s="32">
        <v>-4.407338071503053</v>
      </c>
      <c r="E7" s="31">
        <v>-4.148289277218401</v>
      </c>
      <c r="F7" s="31">
        <v>-3.8158516473615056</v>
      </c>
    </row>
    <row r="8" spans="1:6" x14ac:dyDescent="0.25">
      <c r="A8" s="30">
        <v>0.07328</v>
      </c>
      <c r="B8" s="31">
        <v>-6.945274278864519</v>
      </c>
      <c r="C8" s="31">
        <v>-6.8993788818028285</v>
      </c>
      <c r="D8" s="31">
        <v>-6.8534834847411386</v>
      </c>
      <c r="E8" s="31">
        <v>-6.807588087679448</v>
      </c>
      <c r="F8" s="31">
        <v>-6.7616926906177595</v>
      </c>
    </row>
    <row r="9" spans="1:6" x14ac:dyDescent="0.25">
      <c r="A9" s="30">
        <v>0.08328</v>
      </c>
      <c r="B9" s="31">
        <v>-8.364860152659894</v>
      </c>
      <c r="C9" s="31">
        <v>-8.326126426537268</v>
      </c>
      <c r="D9" s="31">
        <v>-8.287392700414651</v>
      </c>
      <c r="E9" s="31">
        <v>-8.248658974292026</v>
      </c>
      <c r="F9" s="31">
        <v>-8.209925248169405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2925000000</v>
      </c>
      <c r="C5" s="18">
        <v>3048000000</v>
      </c>
      <c r="D5" s="18">
        <v>3547000000</v>
      </c>
      <c r="E5" s="18">
        <v>4351000000</v>
      </c>
      <c r="F5" s="8" t="s">
        <v>84</v>
      </c>
    </row>
    <row r="6" spans="1:6" x14ac:dyDescent="0.25">
      <c r="A6" t="s">
        <v>44</v>
      </c>
      <c r="B6" s="18">
        <v>987000000</v>
      </c>
      <c r="C6" s="18">
        <v>574000000</v>
      </c>
      <c r="D6" s="18">
        <v>845000000</v>
      </c>
      <c r="E6" s="18">
        <v>1127000000</v>
      </c>
      <c r="F6" s="8" t="s">
        <v>85</v>
      </c>
    </row>
    <row r="7" spans="1:6" x14ac:dyDescent="0.25">
      <c r="A7" t="s">
        <v>86</v>
      </c>
      <c r="B7" s="18">
        <v>590000000</v>
      </c>
      <c r="C7" s="18">
        <v>425000000</v>
      </c>
      <c r="D7" s="18">
        <v>502000000</v>
      </c>
      <c r="E7" s="18">
        <v>454000000</v>
      </c>
      <c r="F7" s="8" t="s">
        <v>87</v>
      </c>
    </row>
    <row r="8" spans="1:6" x14ac:dyDescent="0.25">
      <c r="A8" t="s">
        <v>88</v>
      </c>
      <c r="B8" s="18">
        <v>979000000</v>
      </c>
      <c r="C8" s="18">
        <v>1630000000</v>
      </c>
      <c r="D8" s="18">
        <v>1907000000</v>
      </c>
      <c r="E8" s="18">
        <v>1125000000</v>
      </c>
      <c r="F8" s="8" t="s">
        <v>89</v>
      </c>
    </row>
    <row r="9" spans="1:6" x14ac:dyDescent="0.25">
      <c r="A9" t="s">
        <v>90</v>
      </c>
      <c r="B9" s="18">
        <v>-3000000</v>
      </c>
      <c r="C9" s="18">
        <v>-203000000</v>
      </c>
      <c r="D9" s="18">
        <v>363000000</v>
      </c>
      <c r="E9" s="18">
        <v>-270000000</v>
      </c>
      <c r="F9" s="8" t="s">
        <v>91</v>
      </c>
    </row>
    <row r="10" spans="1:6" x14ac:dyDescent="0.25">
      <c r="A10" t="s">
        <v>92</v>
      </c>
      <c r="B10" s="18">
        <v>5164000000</v>
      </c>
      <c r="C10" s="18">
        <v>5442000000</v>
      </c>
      <c r="D10" s="18">
        <v>5114000000</v>
      </c>
      <c r="E10" s="18">
        <v>3142000000</v>
      </c>
      <c r="F10" s="8" t="s">
        <v>93</v>
      </c>
    </row>
    <row r="11" spans="1:6" x14ac:dyDescent="0.25">
      <c r="A11" t="s">
        <v>94</v>
      </c>
      <c r="B11" s="18">
        <v>465000000</v>
      </c>
      <c r="C11" s="18">
        <v>541000000</v>
      </c>
      <c r="D11" s="18">
        <v>883000000</v>
      </c>
      <c r="E11" s="18">
        <v>804000000</v>
      </c>
      <c r="F11" s="8" t="s">
        <v>95</v>
      </c>
    </row>
    <row r="12" spans="1:6" x14ac:dyDescent="0.25">
      <c r="A12" t="s">
        <v>32</v>
      </c>
      <c r="B12" s="34">
        <v>324505465</v>
      </c>
      <c r="C12" s="34">
        <v>324397668</v>
      </c>
      <c r="D12" s="34">
        <v>326607842</v>
      </c>
      <c r="E12" s="34">
        <v>329119638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2026-09-19T01:05:44Z</dcterms:modified>
</cp:coreProperties>
</file>