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<sst xmlns="http://schemas.openxmlformats.org/spreadsheetml/2006/main" count="122" uniqueCount="109">
  <si>
    <t>Arista Networks, Inc. (ANET)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</si>
  <si>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</si>
  <si>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</si>
  <si>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</si>
  <si>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</si>
  <si>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</si>
  <si>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</si>
  <si>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</si>
  <si>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</si>
  <si>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</si>
  <si>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</si>
  <si>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</si>
  <si>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</si>
  <si>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</si>
  <si>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</si>
  <si>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</si>
  <si>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</si>
  <si>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</si>
  <si>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</si>
  <si>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</si>
  <si>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</si>
  <si>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</si>
  <si>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</si>
  <si>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</si>
  <si>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</si>
  <si>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</si>
  <si>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</si>
  <si>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</si>
  <si>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</si>
  <si>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</si>
  <si>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</si>
  <si>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</si>
  <si>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</si>
  <si>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</si>
  <si>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</si>
  <si>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</si>
  <si>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</si>
  <si>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</si>
  <si>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</si>
  <si>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</si>
  <si>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</si>
  <si>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</si>
  <si>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</si>
  <si>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</si>
  <si>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</si>
  <si>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</si>
  <si>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</si>
  <si>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</si>
  <si>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</si>
  <si>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</si>
  <si>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</si>
  <si>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</si>
  <si>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</si>
  <si>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</si>
  <si>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</si>
  <si>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</si>
  <si>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</si>
  <si>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</si>
  <si>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</si>
  <si>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</si>
  <si>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</si>
  <si>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</si>
  <si>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</si>
  <si>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</si>
  <si>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</si>
  <si>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</si>
  <si>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</si>
  <si>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</si>
  <si>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</si>
  <si>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</si>
  <si>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</si>
  <si>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</si>
  <si>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</si>
  <si>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</si>
  <si>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</si>
  <si>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</si>
  <si>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</si>
  <si>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</si>
  <si>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</si>
  <si>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</si>
  <si>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</si>
  <si>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</si>
  <si>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</si>
  <si>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</si>
  <si>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</si>
  <si>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</si>
  <si>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</si>
  <si>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</si>
  <si>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</si>
  <si>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</si>
  <si>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</si>
  <si>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</si>
  <si>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</si>
  <si>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</si>
  <si>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</si>
  <si>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</si>
  <si>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</si>
  <si>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</si>
  <si>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</si>
  <si>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</si>
  <si>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derived</t>
  </si>
  <si>
    <t>Cash and equivalents</t>
  </si>
  <si>
    <t>cashCashEquivalentsAndShortTermInvestments</t>
  </si>
  <si>
    <t>dilutedAverageShares</t>
  </si>
  <si>
    <t>Model notes</t>
  </si>
  <si>
    <t>Adjusted: No debt figure was reported for the latest year, so the 2022-12-31 figure is used. Override net debt if it has changed.</t>
  </si>
  <si>
    <t>Adjusted: Reported capital expenditure averages just 0.85% of revenue, which is too low to be the company's real investment - property trusts and similar structures invest through lines that are not reported as capex. Capex has been set to 1.32% of revenue so the forecast is not handed free growth. Override it if the reported figure is right.</t>
  </si>
  <si>
    <t>Current EV/EBITDA of 51.1x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</si>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</sst>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0.4081437800504124</v>
      </c>
    </row>
    <row r="7" spans="1:2" x14ac:dyDescent="0.25">
      <c r="A7" t="s">
        <v>4</v>
      </c>
      <c r="B7" s="5">
        <v>0.39559925732202583</v>
      </c>
    </row>
    <row r="8" spans="1:2" x14ac:dyDescent="0.25">
      <c r="A8" t="s">
        <v>5</v>
      </c>
      <c r="B8" s="5">
        <v>0.14159249488011033</v>
      </c>
    </row>
    <row r="9" spans="1:2" x14ac:dyDescent="0.25">
      <c r="A9" t="s">
        <v>6</v>
      </c>
      <c r="B9" s="5">
        <v>0.010818235469654783</v>
      </c>
    </row>
    <row r="10" spans="1:3" x14ac:dyDescent="0.25">
      <c r="A10" t="s">
        <v>7</v>
      </c>
      <c r="B10" s="5">
        <v>0.013181639000993138</v>
      </c>
      <c r="C10" s="6" t="s">
        <v>8</v>
      </c>
    </row>
    <row r="11" spans="1:2" x14ac:dyDescent="0.25">
      <c r="A11" t="s">
        <v>9</v>
      </c>
      <c r="B11" s="5">
        <v>0.4104403833688398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0.2679416811373233</v>
      </c>
      <c r="C14" s="6" t="s">
        <v>13</v>
      </c>
    </row>
    <row r="15" spans="1:3" x14ac:dyDescent="0.25">
      <c r="A15" t="s">
        <v>14</v>
      </c>
      <c r="B15" s="5">
        <v>0.013181639000993138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1.4053499999999999</v>
      </c>
      <c r="C19" s="6" t="s">
        <v>21</v>
      </c>
    </row>
    <row r="20" spans="1:2" x14ac:dyDescent="0.25">
      <c r="A20" t="s">
        <v>22</v>
      </c>
      <c r="B20" s="9">
        <f>B17+B19*B18</f>
        <v>0.10838630499999999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211648774144</v>
      </c>
    </row>
    <row r="23" spans="1:2" x14ac:dyDescent="0.25">
      <c r="A23" t="s">
        <v>26</v>
      </c>
      <c r="B23" s="10">
        <v>43964000</v>
      </c>
    </row>
    <row r="24" spans="1:2" x14ac:dyDescent="0.25">
      <c r="A24" t="s">
        <v>27</v>
      </c>
      <c r="B24" s="9">
        <f>B22/(B22+B23)</f>
        <v>0.9997923216432201</v>
      </c>
    </row>
    <row r="25" spans="1:2" x14ac:dyDescent="0.25">
      <c r="A25" t="s">
        <v>28</v>
      </c>
      <c r="B25" s="9">
        <f>1-B24</f>
        <v>0.00020767835677992785</v>
      </c>
    </row>
    <row r="26" spans="1:2" x14ac:dyDescent="0.25">
      <c r="A26" t="s">
        <v>29</v>
      </c>
      <c r="B26" s="11">
        <f>B24*B20+B25*B21*(1-B8)</f>
        <v>0.10837608562746819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9005700000</v>
      </c>
      <c r="C29" s="6" t="s">
        <v>32</v>
      </c>
    </row>
    <row r="30" spans="1:2" x14ac:dyDescent="0.25">
      <c r="A30" t="s">
        <v>33</v>
      </c>
      <c r="B30" s="10">
        <v>-10699036000</v>
      </c>
    </row>
    <row r="31" spans="1:2" x14ac:dyDescent="0.25">
      <c r="A31" t="s">
        <v>34</v>
      </c>
      <c r="B31" s="12">
        <v>1275700000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0.4081437800504124</v>
      </c>
      <c r="C5" s="5">
        <v>0.29032092181719205</v>
      </c>
      <c r="D5" s="5">
        <v>0.25715580659004306</v>
      </c>
      <c r="E5" s="5">
        <v>0.22399069136289404</v>
      </c>
      <c r="F5" s="5">
        <v>0.19082557613574502</v>
      </c>
      <c r="G5" s="5">
        <v>0.15766046090859603</v>
      </c>
      <c r="H5" s="5">
        <v>0.12449534568144704</v>
      </c>
      <c r="I5" s="5">
        <v>0.09133023045429803</v>
      </c>
      <c r="J5" s="5">
        <v>0.05816511522714901</v>
      </c>
      <c r="K5" s="5">
        <v>0.025000000000000022</v>
      </c>
    </row>
    <row r="6" spans="1:11" x14ac:dyDescent="0.25">
      <c r="A6" t="s">
        <v>50</v>
      </c>
      <c r="B6" s="18">
        <f>Assumptions!B29*(1+B5)</f>
        <v>12681320439.999998</v>
      </c>
      <c r="C6" s="18">
        <f>B6*(1+C5)</f>
        <v>16362973079.999996</v>
      </c>
      <c r="D6" s="18">
        <f>C6*(1+D5)</f>
        <v>20570806620.598557</v>
      </c>
      <c r="E6" s="18">
        <f>D6*(1+E5)</f>
        <v>25178475817.438824</v>
      </c>
      <c r="F6" s="18">
        <f>E6*(1+F5)</f>
        <v>29983172971.521515</v>
      </c>
      <c r="G6" s="18">
        <f>F6*(1+G5)</f>
        <v>34710333841.71376</v>
      </c>
      <c r="H6" s="18">
        <f>G6*(1+H5)</f>
        <v>39031608852.05634</v>
      </c>
      <c r="I6" s="18">
        <f>H6*(1+I5)</f>
        <v>42596374683.51667</v>
      </c>
      <c r="J6" s="18">
        <f>I6*(1+J5)</f>
        <v>45073997725.242226</v>
      </c>
      <c r="K6" s="18">
        <f>J6*(1+K5)</f>
        <v>46200847668.373276</v>
      </c>
    </row>
    <row r="7" spans="1:11" x14ac:dyDescent="0.25">
      <c r="A7" t="s">
        <v>4</v>
      </c>
      <c r="B7" s="9">
        <f>Assumptions!B7</f>
        <v>0.39559925732202583</v>
      </c>
      <c r="C7" s="9">
        <f>Assumptions!B7</f>
        <v>0.39559925732202583</v>
      </c>
      <c r="D7" s="9">
        <f>Assumptions!B7</f>
        <v>0.39559925732202583</v>
      </c>
      <c r="E7" s="9">
        <f>Assumptions!B7</f>
        <v>0.39559925732202583</v>
      </c>
      <c r="F7" s="9">
        <f>Assumptions!B7</f>
        <v>0.39559925732202583</v>
      </c>
      <c r="G7" s="9">
        <f>Assumptions!B7</f>
        <v>0.39559925732202583</v>
      </c>
      <c r="H7" s="9">
        <f>Assumptions!B7</f>
        <v>0.39559925732202583</v>
      </c>
      <c r="I7" s="9">
        <f>Assumptions!B7</f>
        <v>0.39559925732202583</v>
      </c>
      <c r="J7" s="9">
        <f>Assumptions!B7</f>
        <v>0.39559925732202583</v>
      </c>
      <c r="K7" s="9">
        <f>Assumptions!B7</f>
        <v>0.39559925732202583</v>
      </c>
    </row>
    <row r="8" spans="1:11" x14ac:dyDescent="0.25">
      <c r="A8" t="s">
        <v>51</v>
      </c>
      <c r="B8" s="18">
        <f>B6*B7</f>
        <v>5016720947.926625</v>
      </c>
      <c r="C8" s="18">
        <f>C6*C7</f>
        <v>6473179998.0283</v>
      </c>
      <c r="D8" s="18">
        <f>D6*D7</f>
        <v>8137795821.623801</v>
      </c>
      <c r="E8" s="18">
        <f>E6*E7</f>
        <v>9960586333.879385</v>
      </c>
      <c r="F8" s="18">
        <f>F6*F7</f>
        <v>11861320959.69175</v>
      </c>
      <c r="G8" s="18">
        <f>G6*G7</f>
        <v>13731382289.181543</v>
      </c>
      <c r="H8" s="18">
        <f>H6*H7</f>
        <v>15440875473.957298</v>
      </c>
      <c r="I8" s="18">
        <f>I6*I7</f>
        <v>16851094189.409939</v>
      </c>
      <c r="J8" s="18">
        <f>J6*J7</f>
        <v>17831240024.640507</v>
      </c>
      <c r="K8" s="18">
        <f>K6*K7</f>
        <v>18277021025.256516</v>
      </c>
    </row>
    <row r="9" spans="1:11" x14ac:dyDescent="0.25">
      <c r="A9" t="s">
        <v>52</v>
      </c>
      <c r="B9" s="18">
        <f>B8*(1-Assumptions!B8)</f>
        <v>4306390912.792382</v>
      </c>
      <c r="C9" s="18">
        <f>C8*(1-Assumptions!B8)</f>
        <v>5556626292.299445</v>
      </c>
      <c r="D9" s="18">
        <f>D8*(1-Assumptions!B8)</f>
        <v>6985545008.41515</v>
      </c>
      <c r="E9" s="18">
        <f>E8*(1-Assumptions!B8)</f>
        <v>8550242064.39667</v>
      </c>
      <c r="F9" s="18">
        <f>F8*(1-Assumptions!B8)</f>
        <v>10181846932.43525</v>
      </c>
      <c r="G9" s="18">
        <f>G8*(1-Assumptions!B8)</f>
        <v>11787121612.703768</v>
      </c>
      <c r="H9" s="18">
        <f>H8*(1-Assumptions!B8)</f>
        <v>13254563392.466578</v>
      </c>
      <c r="I9" s="18">
        <f>I8*(1-Assumptions!B8)</f>
        <v>14465105721.671654</v>
      </c>
      <c r="J9" s="18">
        <f>J8*(1-Assumptions!B8)</f>
        <v>15306470262.745577</v>
      </c>
      <c r="K9" s="18">
        <f>K8*(1-Assumptions!B8)</f>
        <v>15689132019.314213</v>
      </c>
    </row>
    <row r="10" spans="1:11" x14ac:dyDescent="0.25">
      <c r="A10" t="s">
        <v>53</v>
      </c>
      <c r="B10" s="18">
        <f>B6*Assumptions!B9</f>
        <v>137189510.5860662</v>
      </c>
      <c r="C10" s="18">
        <f>C6*Assumptions!B9</f>
        <v>177018495.76306233</v>
      </c>
      <c r="D10" s="18">
        <f>D6*Assumptions!B9</f>
        <v>222539829.82236874</v>
      </c>
      <c r="E10" s="18">
        <f>E6*Assumptions!B9</f>
        <v>272386680.1600619</v>
      </c>
      <c r="F10" s="18">
        <f>F6*Assumptions!B9</f>
        <v>324365025.33330864</v>
      </c>
      <c r="G10" s="18">
        <f>G6*Assumptions!B9</f>
        <v>375504564.72998655</v>
      </c>
      <c r="H10" s="18">
        <f>H6*Assumptions!B9</f>
        <v>422253135.32100755</v>
      </c>
      <c r="I10" s="18">
        <f>I6*Assumptions!B9</f>
        <v>460817611.47992504</v>
      </c>
      <c r="J10" s="18">
        <f>J6*Assumptions!B9</f>
        <v>487621120.95035446</v>
      </c>
      <c r="K10" s="18">
        <f>K6*Assumptions!B9</f>
        <v>499811648.9741132</v>
      </c>
    </row>
    <row r="11" spans="1:11" x14ac:dyDescent="0.25">
      <c r="A11" t="s">
        <v>54</v>
      </c>
      <c r="B11" s="18">
        <f>-B6*B19</f>
        <v>-167160588.09599543</v>
      </c>
      <c r="C11" s="18">
        <f>-C6*C19</f>
        <v>-268999972.59890324</v>
      </c>
      <c r="D11" s="18">
        <f>-D6*D19</f>
        <v>-405192808.2185776</v>
      </c>
      <c r="E11" s="18">
        <f>-E6*E19</f>
        <v>-577981548.7897369</v>
      </c>
      <c r="F11" s="18">
        <f>-F6*F19</f>
        <v>-785957827.0395147</v>
      </c>
      <c r="G11" s="18">
        <f>-G6*G19</f>
        <v>-1022955602.8052475</v>
      </c>
      <c r="H11" s="18">
        <f>-H6*H19</f>
        <v>-1277470461.528757</v>
      </c>
      <c r="I11" s="18">
        <f>-I6*I19</f>
        <v>-1532917483.070333</v>
      </c>
      <c r="J11" s="18">
        <f>-J6*J19</f>
        <v>-1768927039.2155588</v>
      </c>
      <c r="K11" s="18">
        <f>-K6*K19</f>
        <v>-1963668630.1573944</v>
      </c>
    </row>
    <row r="12" spans="1:11" x14ac:dyDescent="0.25">
      <c r="A12" t="s">
        <v>55</v>
      </c>
      <c r="B12" s="18">
        <f>-(B6-Assumptions!B29)*Assumptions!B11</f>
        <v>-1508623062.5119429</v>
      </c>
      <c r="C12" s="18">
        <f>-(C6-B6)*Assumptions!B11</f>
        <v>-1511098920.9925003</v>
      </c>
      <c r="D12" s="18">
        <f>-(D6-C6)*Assumptions!B11</f>
        <v>-1727064811.5555358</v>
      </c>
      <c r="E12" s="18">
        <f>-(E6-D6)*Assumptions!B11</f>
        <v>-1891173511.5879135</v>
      </c>
      <c r="F12" s="18">
        <f>-(F6-E6)*Assumptions!B11</f>
        <v>-1972041741.8928733</v>
      </c>
      <c r="G12" s="18">
        <f>-(G6-F6)*Assumptions!B11</f>
        <v>-1940217719.8078837</v>
      </c>
      <c r="H12" s="18">
        <f>-(H6-G6)*Assumptions!B11</f>
        <v>-1773625771.8871968</v>
      </c>
      <c r="I12" s="18">
        <f>-(I6-H6)*Assumptions!B11</f>
        <v>-1463123854.4847176</v>
      </c>
      <c r="J12" s="18">
        <f>-(J6-I6)*Assumptions!B11</f>
        <v>-1016916551.0893079</v>
      </c>
      <c r="K12" s="18">
        <f>-(K6-J6)*Assumptions!B11</f>
        <v>-462504722.65786356</v>
      </c>
    </row>
    <row r="13" spans="1:11" x14ac:dyDescent="0.25">
      <c r="A13" s="19" t="s">
        <v>56</v>
      </c>
      <c r="B13" s="20">
        <f>B9+B10+B11+B12</f>
        <v>2767796772.77051</v>
      </c>
      <c r="C13" s="20">
        <f>C9+C10+C11+C12</f>
        <v>3953545894.4711037</v>
      </c>
      <c r="D13" s="20">
        <f>D9+D10+D11+D12</f>
        <v>5075827218.463406</v>
      </c>
      <c r="E13" s="20">
        <f>E9+E10+E11+E12</f>
        <v>6353473684.179082</v>
      </c>
      <c r="F13" s="20">
        <f>F9+F10+F11+F12</f>
        <v>7748212388.83617</v>
      </c>
      <c r="G13" s="20">
        <f>G9+G10+G11+G12</f>
        <v>9199452854.820621</v>
      </c>
      <c r="H13" s="20">
        <f>H9+H10+H11+H12</f>
        <v>10625720294.37163</v>
      </c>
      <c r="I13" s="20">
        <f>I9+I10+I11+I12</f>
        <v>11929881995.596527</v>
      </c>
      <c r="J13" s="20">
        <f>J9+J10+J11+J12</f>
        <v>13008247793.391064</v>
      </c>
      <c r="K13" s="20">
        <f>K9+K10+K11+K12</f>
        <v>13762770315.473068</v>
      </c>
    </row>
    <row r="14" spans="1:11" x14ac:dyDescent="0.25">
      <c r="A14" t="s">
        <v>57</v>
      </c>
      <c r="B14" s="21">
        <f>1/(1+Assumptions!$B$26)^(1-0.5*Assumptions!$B$32)</f>
        <v>0.9498530608908202</v>
      </c>
      <c r="C14" s="21">
        <f>1/(1+Assumptions!$B$26)^(2-0.5*Assumptions!$B$32)</f>
        <v>0.8569772238933631</v>
      </c>
      <c r="D14" s="21">
        <f>1/(1+Assumptions!$B$26)^(3-0.5*Assumptions!$B$32)</f>
        <v>0.7731827084740964</v>
      </c>
      <c r="E14" s="21">
        <f>1/(1+Assumptions!$B$26)^(4-0.5*Assumptions!$B$32)</f>
        <v>0.6975815506127473</v>
      </c>
      <c r="F14" s="21">
        <f>1/(1+Assumptions!$B$26)^(5-0.5*Assumptions!$B$32)</f>
        <v>0.6293726106674666</v>
      </c>
      <c r="G14" s="21">
        <f>1/(1+Assumptions!$B$26)^(6-0.5*Assumptions!$B$32)</f>
        <v>0.5678330837598047</v>
      </c>
      <c r="H14" s="21">
        <f>1/(1+Assumptions!$B$26)^(7-0.5*Assumptions!$B$32)</f>
        <v>0.5123108402671336</v>
      </c>
      <c r="I14" s="21">
        <f>1/(1+Assumptions!$B$26)^(8-0.5*Assumptions!$B$32)</f>
        <v>0.4622175152553087</v>
      </c>
      <c r="J14" s="21">
        <f>1/(1+Assumptions!$B$26)^(9-0.5*Assumptions!$B$32)</f>
        <v>0.41702227362081745</v>
      </c>
      <c r="K14" s="21">
        <f>1/(1+Assumptions!$B$26)^(10-0.5*Assumptions!$B$32)</f>
        <v>0.3762461848721095</v>
      </c>
    </row>
    <row r="15" spans="1:11" x14ac:dyDescent="0.25">
      <c r="A15" s="19" t="s">
        <v>58</v>
      </c>
      <c r="B15" s="20">
        <f>B13*B14</f>
        <v>2629000236.539803</v>
      </c>
      <c r="C15" s="20">
        <f>C13*C14</f>
        <v>3388098785.178849</v>
      </c>
      <c r="D15" s="20">
        <f>D13*D14</f>
        <v>3924541836.518075</v>
      </c>
      <c r="E15" s="20">
        <f>E13*E14</f>
        <v>4432066024.386929</v>
      </c>
      <c r="F15" s="20">
        <f>F13*F14</f>
        <v>4876512659.167829</v>
      </c>
      <c r="G15" s="20">
        <f>G13*G14</f>
        <v>5223753683.455732</v>
      </c>
      <c r="H15" s="20">
        <f>H13*H14</f>
        <v>5443671692.453064</v>
      </c>
      <c r="I15" s="20">
        <f>I13*I14</f>
        <v>5514200413.293671</v>
      </c>
      <c r="J15" s="20">
        <f>J13*J14</f>
        <v>5424729070.622923</v>
      </c>
      <c r="K15" s="20">
        <f>K13*K14</f>
        <v>5178189824.46786</v>
      </c>
    </row>
    <row r="17" spans="1:2" x14ac:dyDescent="0.25">
      <c r="A17" s="22" t="s">
        <v>59</v>
      </c>
      <c r="B17" s="23">
        <f>SUM(B15:K15)</f>
        <v>46034764226.08473</v>
      </c>
    </row>
    <row r="19" spans="1:11" x14ac:dyDescent="0.25">
      <c r="A19" t="s">
        <v>7</v>
      </c>
      <c r="B19" s="9">
        <f>Assumptions!$B$10+($B$20-Assumptions!$B$10)*0/9</f>
        <v>0.013181639000993138</v>
      </c>
      <c r="C19" s="9">
        <f>Assumptions!$B$10+($B$20-Assumptions!$B$10)*1/9</f>
        <v>0.016439553575242044</v>
      </c>
      <c r="D19" s="9">
        <f>Assumptions!$B$10+($B$20-Assumptions!$B$10)*2/9</f>
        <v>0.01969746814949095</v>
      </c>
      <c r="E19" s="9">
        <f>Assumptions!$B$10+($B$20-Assumptions!$B$10)*3/9</f>
        <v>0.022955382723739856</v>
      </c>
      <c r="F19" s="9">
        <f>Assumptions!$B$10+($B$20-Assumptions!$B$10)*4/9</f>
        <v>0.026213297297988762</v>
      </c>
      <c r="G19" s="9">
        <f>Assumptions!$B$10+($B$20-Assumptions!$B$10)*5/9</f>
        <v>0.02947121187223767</v>
      </c>
      <c r="H19" s="9">
        <f>Assumptions!$B$10+($B$20-Assumptions!$B$10)*6/9</f>
        <v>0.03272912644648658</v>
      </c>
      <c r="I19" s="9">
        <f>Assumptions!$B$10+($B$20-Assumptions!$B$10)*7/9</f>
        <v>0.03598704102073549</v>
      </c>
      <c r="J19" s="9">
        <f>Assumptions!$B$10+($B$20-Assumptions!$B$10)*8/9</f>
        <v>0.03924495559498439</v>
      </c>
      <c r="K19" s="9">
        <f>Assumptions!$B$10+($B$20-Assumptions!$B$10)*9/9</f>
        <v>0.0425028701692333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0.0425028701692333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13762770315.473068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15689132019.314213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0.09330388573320626</v>
      </c>
    </row>
    <row r="7" spans="1:2" x14ac:dyDescent="0.25">
      <c r="A7" t="s">
        <v>66</v>
      </c>
      <c r="B7" s="18">
        <f>-MAX(B5,0)*B6</f>
        <v>-1463856981.183281</v>
      </c>
    </row>
    <row r="8" spans="1:2" x14ac:dyDescent="0.25">
      <c r="A8" t="s">
        <v>67</v>
      </c>
      <c r="B8" s="18">
        <f>IF(OR(Assumptions!$B$33=0,Assumptions!B12&lt;=0),B5,MAX(B5+B7,0))</f>
        <v>14225275038.130932</v>
      </c>
    </row>
    <row r="9" spans="1:2" x14ac:dyDescent="0.25">
      <c r="A9" t="s">
        <v>68</v>
      </c>
      <c r="B9" s="18">
        <f>B8*(1+Assumptions!B12)/(Assumptions!B26-Assumptions!B12)</f>
        <v>174881164117.40656</v>
      </c>
    </row>
    <row r="10" spans="1:2" x14ac:dyDescent="0.25">
      <c r="A10" t="s">
        <v>69</v>
      </c>
      <c r="B10" s="18">
        <f>B9/(1+Assumptions!B26)^(10-0.5*Assumptions!B32)</f>
        <v>65798370805.167465</v>
      </c>
    </row>
    <row r="11" spans="1:2" x14ac:dyDescent="0.25">
      <c r="A11" t="s">
        <v>70</v>
      </c>
      <c r="B11" s="18">
        <f>Forecast!B17+B10</f>
        <v>111833135031.2522</v>
      </c>
    </row>
    <row r="12" spans="1:2" x14ac:dyDescent="0.25">
      <c r="A12" t="s">
        <v>71</v>
      </c>
      <c r="B12" s="18">
        <f>-Assumptions!B30</f>
        <v>10699036000</v>
      </c>
    </row>
    <row r="13" spans="1:2" x14ac:dyDescent="0.25">
      <c r="A13" t="s">
        <v>72</v>
      </c>
      <c r="B13" s="18">
        <f>B11+B12</f>
        <v>122532171031.2522</v>
      </c>
    </row>
    <row r="14" spans="1:2" x14ac:dyDescent="0.25">
      <c r="A14" s="19" t="s">
        <v>73</v>
      </c>
      <c r="B14" s="24">
        <f>B13/Assumptions!B31</f>
        <v>96.05092971016084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18776832674.23063</v>
      </c>
    </row>
    <row r="18" spans="1:2" x14ac:dyDescent="0.25">
      <c r="A18" t="s">
        <v>68</v>
      </c>
      <c r="B18" s="18">
        <f>B17*Assumptions!B13</f>
        <v>375536653484.61255</v>
      </c>
    </row>
    <row r="19" spans="1:2" x14ac:dyDescent="0.25">
      <c r="A19" t="s">
        <v>69</v>
      </c>
      <c r="B19" s="18">
        <f>B18/(1+Assumptions!B26)^(10-0.5*Assumptions!B32)</f>
        <v>141294233153.22485</v>
      </c>
    </row>
    <row r="20" spans="1:2" x14ac:dyDescent="0.25">
      <c r="A20" t="s">
        <v>70</v>
      </c>
      <c r="B20" s="18">
        <f>Forecast!B17+B19</f>
        <v>187328997379.30957</v>
      </c>
    </row>
    <row r="21" spans="1:2" x14ac:dyDescent="0.25">
      <c r="A21" t="s">
        <v>71</v>
      </c>
      <c r="B21" s="18">
        <f>-Assumptions!B30</f>
        <v>10699036000</v>
      </c>
    </row>
    <row r="22" spans="1:2" x14ac:dyDescent="0.25">
      <c r="A22" t="s">
        <v>72</v>
      </c>
      <c r="B22" s="18">
        <f>B20+B21</f>
        <v>198028033379.30957</v>
      </c>
    </row>
    <row r="23" spans="1:2" x14ac:dyDescent="0.25">
      <c r="A23" s="19" t="s">
        <v>73</v>
      </c>
      <c r="B23" s="25">
        <f>B22/Assumptions!B31</f>
        <v>155.2308798144623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167.8121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96.05092971016084</v>
      </c>
    </row>
    <row r="29" spans="1:2" x14ac:dyDescent="0.25">
      <c r="A29" s="19" t="s">
        <v>81</v>
      </c>
      <c r="B29" s="11">
        <f>B28/B26-1</f>
        <v>-0.42762810482580904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0.088376</v>
      </c>
      <c r="B5" s="31">
        <v>121.22581016205733</v>
      </c>
      <c r="C5" s="31">
        <v>124.80326603774535</v>
      </c>
      <c r="D5" s="31">
        <v>129.011678889362</v>
      </c>
      <c r="E5" s="31">
        <v>134.01317621174985</v>
      </c>
      <c r="F5" s="31">
        <v>140.0306347109485</v>
      </c>
    </row>
    <row r="6" spans="1:6" x14ac:dyDescent="0.25">
      <c r="A6" s="30">
        <v>0.098376</v>
      </c>
      <c r="B6" s="31">
        <v>105.28035410588993</v>
      </c>
      <c r="C6" s="31">
        <v>107.56497741205483</v>
      </c>
      <c r="D6" s="31">
        <v>110.21515852863153</v>
      </c>
      <c r="E6" s="31">
        <v>113.31109178047348</v>
      </c>
      <c r="F6" s="31">
        <v>116.95827896682599</v>
      </c>
    </row>
    <row r="7" spans="1:6" x14ac:dyDescent="0.25">
      <c r="A7" s="30">
        <v>0.108376</v>
      </c>
      <c r="B7" s="31">
        <v>92.87934223336225</v>
      </c>
      <c r="C7" s="31">
        <v>94.35421068923124</v>
      </c>
      <c r="D7" s="32">
        <v>96.05103594415529</v>
      </c>
      <c r="E7" s="31">
        <v>98.01229722628881</v>
      </c>
      <c r="F7" s="31">
        <v>100.29205227124204</v>
      </c>
    </row>
    <row r="8" spans="1:6" x14ac:dyDescent="0.25">
      <c r="A8" s="30">
        <v>0.118376</v>
      </c>
      <c r="B8" s="31">
        <v>82.98574374634761</v>
      </c>
      <c r="C8" s="31">
        <v>83.93458881488185</v>
      </c>
      <c r="D8" s="31">
        <v>85.02309363433272</v>
      </c>
      <c r="E8" s="31">
        <v>86.2749625618079</v>
      </c>
      <c r="F8" s="31">
        <v>87.71958608882008</v>
      </c>
    </row>
    <row r="9" spans="1:6" x14ac:dyDescent="0.25">
      <c r="A9" s="30">
        <v>0.128376</v>
      </c>
      <c r="B9" s="31">
        <v>74.92904824119839</v>
      </c>
      <c r="C9" s="31">
        <v>75.52668785602648</v>
      </c>
      <c r="D9" s="31">
        <v>76.21465645220536</v>
      </c>
      <c r="E9" s="31">
        <v>77.00672705079977</v>
      </c>
      <c r="F9" s="31">
        <v>77.91962268595371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9005700000</v>
      </c>
      <c r="C5" s="18">
        <v>7003100000</v>
      </c>
      <c r="D5" s="18">
        <v>5860200000</v>
      </c>
      <c r="E5" s="18">
        <v>4381310000</v>
      </c>
      <c r="F5" s="6" t="s">
        <v>91</v>
      </c>
    </row>
    <row r="6" spans="1:6" x14ac:dyDescent="0.25">
      <c r="A6" t="s">
        <v>51</v>
      </c>
      <c r="B6" s="18">
        <v>3856100000</v>
      </c>
      <c r="C6" s="18">
        <v>2944600000</v>
      </c>
      <c r="D6" s="18">
        <v>2257300000</v>
      </c>
      <c r="E6" s="18">
        <v>1527106000</v>
      </c>
      <c r="F6" s="6" t="s">
        <v>92</v>
      </c>
    </row>
    <row r="7" spans="1:6" x14ac:dyDescent="0.25">
      <c r="A7" t="s">
        <v>93</v>
      </c>
      <c r="B7" s="18">
        <v>72600000</v>
      </c>
      <c r="C7" s="18">
        <v>62000000</v>
      </c>
      <c r="D7" s="18">
        <v>70600000</v>
      </c>
      <c r="E7" s="18">
        <v>62700000</v>
      </c>
      <c r="F7" s="6" t="s">
        <v>94</v>
      </c>
    </row>
    <row r="8" spans="1:6" x14ac:dyDescent="0.25">
      <c r="A8" t="s">
        <v>95</v>
      </c>
      <c r="B8" s="18">
        <v>119500000</v>
      </c>
      <c r="C8" s="18">
        <v>32000000</v>
      </c>
      <c r="D8" s="18">
        <v>34400000</v>
      </c>
      <c r="E8" s="18">
        <v>44644000</v>
      </c>
      <c r="F8" s="6" t="s">
        <v>96</v>
      </c>
    </row>
    <row r="9" spans="1:6" x14ac:dyDescent="0.25">
      <c r="A9" t="s">
        <v>97</v>
      </c>
      <c r="B9" s="18">
        <v>-687800000</v>
      </c>
      <c r="C9" s="18">
        <v>-985200000</v>
      </c>
      <c r="D9" s="18">
        <v>15900000</v>
      </c>
      <c r="E9" s="18">
        <v>912821000</v>
      </c>
      <c r="F9" s="6" t="s">
        <v>98</v>
      </c>
    </row>
    <row r="10" spans="1:6" x14ac:dyDescent="0.25">
      <c r="A10" t="s">
        <v>99</v>
      </c>
      <c r="B10" s="18">
        <v>43964000</v>
      </c>
      <c r="C10" s="18">
        <v>0</v>
      </c>
      <c r="D10" s="18">
        <v>0</v>
      </c>
      <c r="E10" s="18">
        <v>43964000</v>
      </c>
      <c r="F10" s="6" t="s">
        <v>100</v>
      </c>
    </row>
    <row r="11" spans="1:6" x14ac:dyDescent="0.25">
      <c r="A11" t="s">
        <v>101</v>
      </c>
      <c r="B11" s="18">
        <v>10743000000</v>
      </c>
      <c r="C11" s="18">
        <v>8303500000</v>
      </c>
      <c r="D11" s="18">
        <v>5007968000</v>
      </c>
      <c r="E11" s="18">
        <v>3023729000</v>
      </c>
      <c r="F11" s="6" t="s">
        <v>102</v>
      </c>
    </row>
    <row r="12" spans="1:6" x14ac:dyDescent="0.25">
      <c r="A12" t="s">
        <v>34</v>
      </c>
      <c r="B12" s="34">
        <v>1275700000</v>
      </c>
      <c r="C12" s="34">
        <v>1281077000</v>
      </c>
      <c r="D12" s="34">
        <v>1268540000</v>
      </c>
      <c r="E12" s="34">
        <v>1265836000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8" ht="38" customHeight="1" spans="1:6" x14ac:dyDescent="0.25">
      <c r="A18" s="35" t="s">
        <v>107</v>
      </c>
      <c r="B18" s="35"/>
      <c r="C18" s="35"/>
      <c r="D18" s="35"/>
      <c r="E18" s="35"/>
      <c r="F18" s="35"/>
    </row>
    <row r="20" spans="1:1" x14ac:dyDescent="0.25">
      <c r="A20" s="36" t="s">
        <v>108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