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<sst xmlns="http://schemas.openxmlformats.org/spreadsheetml/2006/main" count="113" uniqueCount="101">
  <si>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Arista Networks, Inc. (ANET)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</si>
  <si>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</si>
  <si>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</si>
  <si>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</si>
  <si>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</si>
  <si>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</si>
  <si>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</si>
  <si>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</si>
  <si>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</si>
  <si>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</si>
  <si>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</si>
  <si>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</si>
  <si>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</si>
  <si>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</si>
  <si>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</si>
  <si>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</si>
  <si>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</si>
  <si>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</si>
  <si>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</si>
  <si>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</si>
  <si>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</si>
  <si>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</si>
  <si>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</si>
  <si>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</si>
  <si>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</si>
  <si>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</si>
  <si>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</si>
  <si>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</si>
  <si>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</si>
  <si>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</si>
  <si>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</si>
  <si>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</si>
  <si>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</si>
  <si>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</si>
  <si>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</si>
  <si>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</si>
  <si>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</si>
  <si>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</si>
  <si>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</si>
  <si>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</si>
  <si>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</si>
  <si>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</si>
  <si>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</si>
  <si>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</si>
  <si>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</si>
  <si>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</si>
  <si>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</si>
  <si>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</si>
  <si>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</si>
  <si>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</si>
  <si>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</si>
  <si>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</si>
  <si>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</si>
  <si>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</si>
  <si>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</si>
  <si>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</si>
  <si>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</si>
  <si>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</si>
  <si>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</si>
  <si>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</si>
  <si>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</si>
  <si>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</si>
  <si>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</si>
  <si>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</si>
  <si>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</si>
  <si>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</si>
  <si>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</si>
  <si>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</si>
  <si>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</si>
  <si>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</si>
  <si>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</si>
  <si>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</si>
  <si>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</si>
  <si>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</si>
  <si>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</si>
  <si>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</si>
  <si>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</si>
  <si>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</si>
  <si>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</si>
  <si>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</si>
  <si>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</si>
  <si>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</si>
  <si>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</si>
  <si>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</si>
  <si>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</si>
  <si>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</si>
  <si>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</si>
  <si>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</si>
  <si>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</si>
  <si>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</si>
  <si>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</si>
  <si>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</si>
  <si>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</si>
  <si>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</si>
  <si>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</si>
  <si>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</si>
  <si>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</si>
  <si>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</si>
  <si>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0.85% of revenue, which is too low to be the company's real investment - property trusts and similar structures invest through lines that are not reported as capex. Capex has been set to 1.32% of revenue so the forecast is not handed free growth. Override it if the reported figure is right.</t>
  </si>
  <si>
    <t>Current EV/EBITDA of 61.3x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</si>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</sst>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0.27146525721597636</v>
      </c>
    </row>
    <row r="7" spans="1:2" x14ac:dyDescent="0.25">
      <c r="A7" t="s">
        <v>5</v>
      </c>
      <c r="B7" s="6">
        <v>0.39559925732202583</v>
      </c>
    </row>
    <row r="8" spans="1:2" x14ac:dyDescent="0.25">
      <c r="A8" t="s">
        <v>6</v>
      </c>
      <c r="B8" s="6">
        <v>0.14159249488011033</v>
      </c>
    </row>
    <row r="9" spans="1:2" x14ac:dyDescent="0.25">
      <c r="A9" t="s">
        <v>7</v>
      </c>
      <c r="B9" s="6">
        <v>0.010818235469654783</v>
      </c>
    </row>
    <row r="10" spans="1:2" x14ac:dyDescent="0.25">
      <c r="A10" t="s">
        <v>8</v>
      </c>
      <c r="B10" s="6">
        <v>0.013181639000993138</v>
      </c>
    </row>
    <row r="11" spans="1:2" x14ac:dyDescent="0.25">
      <c r="A11" t="s">
        <v>9</v>
      </c>
      <c r="B11" s="6">
        <v>-0.34345351043643263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0.2679416811373233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1.4133900000000001</v>
      </c>
      <c r="C19" s="8" t="s">
        <v>19</v>
      </c>
    </row>
    <row r="20" spans="1:2" x14ac:dyDescent="0.25">
      <c r="A20" t="s">
        <v>20</v>
      </c>
      <c r="B20" s="10">
        <f>B17+B19*B18</f>
        <v>0.12771645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251475591168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0.12771645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9005700000</v>
      </c>
      <c r="C29" s="8" t="s">
        <v>30</v>
      </c>
    </row>
    <row r="30" spans="1:2" x14ac:dyDescent="0.25">
      <c r="A30" t="s">
        <v>31</v>
      </c>
      <c r="B30" s="11">
        <v>-10743000000</v>
      </c>
    </row>
    <row r="31" spans="1:2" x14ac:dyDescent="0.25">
      <c r="A31" t="s">
        <v>32</v>
      </c>
      <c r="B31" s="13">
        <v>1275700000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0.27146525721597636</v>
      </c>
      <c r="C5" s="10">
        <f>Assumptions!B6</f>
        <v>0.27146525721597636</v>
      </c>
      <c r="D5" s="10">
        <f>Assumptions!B6</f>
        <v>0.27146525721597636</v>
      </c>
      <c r="E5" s="10">
        <f>Assumptions!B6</f>
        <v>0.27146525721597636</v>
      </c>
      <c r="F5" s="10">
        <f>Assumptions!B6</f>
        <v>0.27146525721597636</v>
      </c>
    </row>
    <row r="6" spans="1:6" x14ac:dyDescent="0.25">
      <c r="A6" t="s">
        <v>43</v>
      </c>
      <c r="B6" s="18">
        <f>Assumptions!B29*(1+B5)</f>
        <v>11450434666.909918</v>
      </c>
      <c r="C6" s="18">
        <f>B6*(1+C5)</f>
        <v>14558829858.99735</v>
      </c>
      <c r="D6" s="18">
        <f>C6*(1+D5)</f>
        <v>18511046351.433704</v>
      </c>
      <c r="E6" s="18">
        <f>D6*(1+E5)</f>
        <v>23536152310.562515</v>
      </c>
      <c r="F6" s="18">
        <f>E6*(1+F5)</f>
        <v>29925399951.423763</v>
      </c>
    </row>
    <row r="7" spans="1:6" x14ac:dyDescent="0.25">
      <c r="A7" t="s">
        <v>5</v>
      </c>
      <c r="B7" s="10">
        <f>Assumptions!B7</f>
        <v>0.39559925732202583</v>
      </c>
      <c r="C7" s="10">
        <f>Assumptions!B7</f>
        <v>0.39559925732202583</v>
      </c>
      <c r="D7" s="10">
        <f>Assumptions!B7</f>
        <v>0.39559925732202583</v>
      </c>
      <c r="E7" s="10">
        <f>Assumptions!B7</f>
        <v>0.39559925732202583</v>
      </c>
      <c r="F7" s="10">
        <f>Assumptions!B7</f>
        <v>0.39559925732202583</v>
      </c>
    </row>
    <row r="8" spans="1:6" x14ac:dyDescent="0.25">
      <c r="A8" t="s">
        <v>44</v>
      </c>
      <c r="B8" s="18">
        <f>B6*B7</f>
        <v>4529783450.243941</v>
      </c>
      <c r="C8" s="18">
        <f>C6*C7</f>
        <v>5759462279.697086</v>
      </c>
      <c r="D8" s="18">
        <f>D6*D7</f>
        <v>7322956188.88077</v>
      </c>
      <c r="E8" s="18">
        <f>E6*E7</f>
        <v>9310884374.276613</v>
      </c>
      <c r="F8" s="18">
        <f>F6*F7</f>
        <v>11838465995.847828</v>
      </c>
    </row>
    <row r="9" spans="1:6" x14ac:dyDescent="0.25">
      <c r="A9" t="s">
        <v>45</v>
      </c>
      <c r="B9" s="18">
        <f>B8*(1-Assumptions!B8)</f>
        <v>3888400110.2572675</v>
      </c>
      <c r="C9" s="18">
        <f>C8*(1-Assumptions!B8)</f>
        <v>4943965646.346888</v>
      </c>
      <c r="D9" s="18">
        <f>D8*(1-Assumptions!B8)</f>
        <v>6286080552.199397</v>
      </c>
      <c r="E9" s="18">
        <f>E8*(1-Assumptions!B8)</f>
        <v>7992533026.182552</v>
      </c>
      <c r="F9" s="18">
        <f>F8*(1-Assumptions!B8)</f>
        <v>10162228059.942383</v>
      </c>
    </row>
    <row r="10" spans="1:6" x14ac:dyDescent="0.25">
      <c r="A10" t="s">
        <v>46</v>
      </c>
      <c r="B10" s="18">
        <f>B6*Assumptions!B9</f>
        <v>123873498.45652962</v>
      </c>
      <c r="C10" s="18">
        <f>C6*Assumptions!B9</f>
        <v>157500849.5772743</v>
      </c>
      <c r="D10" s="18">
        <f>D6*Assumptions!B9</f>
        <v>200256858.21950385</v>
      </c>
      <c r="E10" s="18">
        <f>E6*Assumptions!B9</f>
        <v>254619637.74532476</v>
      </c>
      <c r="F10" s="18">
        <f>F6*Assumptions!B9</f>
        <v>323740023.19809806</v>
      </c>
    </row>
    <row r="11" spans="1:6" x14ac:dyDescent="0.25">
      <c r="A11" t="s">
        <v>47</v>
      </c>
      <c r="B11" s="18">
        <f>-B6*Assumptions!B10</f>
        <v>-150935496.18366364</v>
      </c>
      <c r="C11" s="18">
        <f>-C6*Assumptions!B10</f>
        <v>-191909239.4781829</v>
      </c>
      <c r="D11" s="18">
        <f>-D6*Assumptions!B10</f>
        <v>-244005930.53525025</v>
      </c>
      <c r="E11" s="18">
        <f>-E6*Assumptions!B10</f>
        <v>-310245063.2302256</v>
      </c>
      <c r="F11" s="18">
        <f>-F6*Assumptions!B10</f>
        <v>-394465819.1200056</v>
      </c>
    </row>
    <row r="12" spans="1:6" x14ac:dyDescent="0.25">
      <c r="A12" t="s">
        <v>48</v>
      </c>
      <c r="B12" s="18">
        <f>-(B6-Assumptions!B29)*Assumptions!B11</f>
        <v>839652703.4358541</v>
      </c>
      <c r="C12" s="18">
        <f>-(C6-B6)*Assumptions!B11</f>
        <v>1067589240.5461581</v>
      </c>
      <c r="D12" s="18">
        <f>-(D6-C6)*Assumptions!B11</f>
        <v>1357402628.3320303</v>
      </c>
      <c r="E12" s="18">
        <f>-(E6-D6)*Assumptions!B11</f>
        <v>1725890281.9778268</v>
      </c>
      <c r="F12" s="18">
        <f>-(F6-E6)*Assumptions!B11</f>
        <v>2194409531.3014913</v>
      </c>
    </row>
    <row r="13" spans="1:6" x14ac:dyDescent="0.25">
      <c r="A13" s="19" t="s">
        <v>49</v>
      </c>
      <c r="B13" s="20">
        <f>B9+B10+B11+B12</f>
        <v>4700990815.965987</v>
      </c>
      <c r="C13" s="20">
        <f>C9+C10+C11+C12</f>
        <v>5977146496.992137</v>
      </c>
      <c r="D13" s="20">
        <f>D9+D10+D11+D12</f>
        <v>7599734108.21568</v>
      </c>
      <c r="E13" s="20">
        <f>E9+E10+E11+E12</f>
        <v>9662797882.675478</v>
      </c>
      <c r="F13" s="20">
        <f>F9+F10+F11+F12</f>
        <v>12285911795.321964</v>
      </c>
    </row>
    <row r="14" spans="1:6" x14ac:dyDescent="0.25">
      <c r="A14" t="s">
        <v>50</v>
      </c>
      <c r="B14" s="21">
        <f>1/(1+Assumptions!$B$26)^(1-0.5*Assumptions!$B$32)</f>
        <v>0.9416728349692729</v>
      </c>
      <c r="C14" s="21">
        <f>1/(1+Assumptions!$B$26)^(2-0.5*Assumptions!$B$32)</f>
        <v>0.8350262470404443</v>
      </c>
      <c r="D14" s="21">
        <f>1/(1+Assumptions!$B$26)^(3-0.5*Assumptions!$B$32)</f>
        <v>0.7404576274829051</v>
      </c>
      <c r="E14" s="21">
        <f>1/(1+Assumptions!$B$26)^(4-0.5*Assumptions!$B$32)</f>
        <v>0.6565991189389009</v>
      </c>
      <c r="F14" s="21">
        <f>1/(1+Assumptions!$B$26)^(5-0.5*Assumptions!$B$32)</f>
        <v>0.5822377770040517</v>
      </c>
    </row>
    <row r="15" spans="1:6" x14ac:dyDescent="0.25">
      <c r="A15" s="19" t="s">
        <v>51</v>
      </c>
      <c r="B15" s="20">
        <f>B13*B14</f>
        <v>4426795348.835207</v>
      </c>
      <c r="C15" s="20">
        <f>C13*C14</f>
        <v>4991074207.394282</v>
      </c>
      <c r="D15" s="20">
        <f>D13*D14</f>
        <v>5627281087.270294</v>
      </c>
      <c r="E15" s="20">
        <f>E13*E14</f>
        <v>6344584576.249395</v>
      </c>
      <c r="F15" s="20">
        <f>F13*F14</f>
        <v>7153321972.176118</v>
      </c>
    </row>
    <row r="17" spans="1:2" x14ac:dyDescent="0.25">
      <c r="A17" s="22" t="s">
        <v>52</v>
      </c>
      <c r="B17" s="23">
        <f>SUM(B15:F15)</f>
        <v>28543057191.925293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12285911795.321964</v>
      </c>
    </row>
    <row r="5" spans="1:2" x14ac:dyDescent="0.25">
      <c r="A5" t="s">
        <v>56</v>
      </c>
      <c r="B5" s="18">
        <f>IF(Assumptions!$B$33=0,B4,B4-Forecast!F11-Forecast!F10-Forecast!F12)</f>
        <v>10162228059.942383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0.09330388573320626</v>
      </c>
    </row>
    <row r="7" spans="1:2" x14ac:dyDescent="0.25">
      <c r="A7" t="s">
        <v>58</v>
      </c>
      <c r="B7" s="18">
        <f>-MAX(Forecast!F9,0)*B6</f>
        <v>-948175365.6996465</v>
      </c>
    </row>
    <row r="8" spans="1:2" x14ac:dyDescent="0.25">
      <c r="A8" t="s">
        <v>59</v>
      </c>
      <c r="B8" s="18">
        <f>IF(OR(Assumptions!$B$33=0,Assumptions!B12&lt;=0),B5,MAX(B5+B7,0))</f>
        <v>9214052694.242737</v>
      </c>
    </row>
    <row r="9" spans="1:2" x14ac:dyDescent="0.25">
      <c r="A9" t="s">
        <v>60</v>
      </c>
      <c r="B9" s="18">
        <f>B8*(1+Assumptions!B12)/(Assumptions!B26-Assumptions!B12)</f>
        <v>91946363134.6177</v>
      </c>
    </row>
    <row r="10" spans="1:2" x14ac:dyDescent="0.25">
      <c r="A10" t="s">
        <v>61</v>
      </c>
      <c r="B10" s="18">
        <f>B9/(1+Assumptions!B26)^(5-0.5*Assumptions!B32)</f>
        <v>53534646075.1071</v>
      </c>
    </row>
    <row r="11" spans="1:2" x14ac:dyDescent="0.25">
      <c r="A11" t="s">
        <v>62</v>
      </c>
      <c r="B11" s="18">
        <f>Forecast!B17+B10</f>
        <v>82077703267.0324</v>
      </c>
    </row>
    <row r="12" spans="1:2" x14ac:dyDescent="0.25">
      <c r="A12" t="s">
        <v>63</v>
      </c>
      <c r="B12" s="18">
        <f>-Assumptions!B30</f>
        <v>10743000000</v>
      </c>
    </row>
    <row r="13" spans="1:2" x14ac:dyDescent="0.25">
      <c r="A13" t="s">
        <v>64</v>
      </c>
      <c r="B13" s="18">
        <f>B11+B12</f>
        <v>92820703267.0324</v>
      </c>
    </row>
    <row r="14" spans="1:2" x14ac:dyDescent="0.25">
      <c r="A14" s="19" t="s">
        <v>65</v>
      </c>
      <c r="B14" s="24">
        <f>B13/Assumptions!B31</f>
        <v>72.76060458339138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12162206019.045925</v>
      </c>
    </row>
    <row r="18" spans="1:2" x14ac:dyDescent="0.25">
      <c r="A18" t="s">
        <v>60</v>
      </c>
      <c r="B18" s="18">
        <f>B17*Assumptions!B13</f>
        <v>243244120380.91852</v>
      </c>
    </row>
    <row r="19" spans="1:2" x14ac:dyDescent="0.25">
      <c r="A19" t="s">
        <v>61</v>
      </c>
      <c r="B19" s="18">
        <f>B18/(1+Assumptions!B26)^(5-0.5*Assumptions!B32)</f>
        <v>141625915919.89194</v>
      </c>
    </row>
    <row r="20" spans="1:2" x14ac:dyDescent="0.25">
      <c r="A20" t="s">
        <v>62</v>
      </c>
      <c r="B20" s="18">
        <f>Forecast!B17+B19</f>
        <v>170168973111.81723</v>
      </c>
    </row>
    <row r="21" spans="1:2" x14ac:dyDescent="0.25">
      <c r="A21" t="s">
        <v>63</v>
      </c>
      <c r="B21" s="18">
        <f>-Assumptions!B30</f>
        <v>10743000000</v>
      </c>
    </row>
    <row r="22" spans="1:2" x14ac:dyDescent="0.25">
      <c r="A22" t="s">
        <v>64</v>
      </c>
      <c r="B22" s="18">
        <f>B20+B21</f>
        <v>180911973111.81723</v>
      </c>
    </row>
    <row r="23" spans="1:2" x14ac:dyDescent="0.25">
      <c r="A23" s="19" t="s">
        <v>65</v>
      </c>
      <c r="B23" s="25">
        <f>B22/Assumptions!B31</f>
        <v>141.8138850135747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199.39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72.76060458339138</v>
      </c>
    </row>
    <row r="29" spans="1:2" x14ac:dyDescent="0.25">
      <c r="A29" s="19" t="s">
        <v>73</v>
      </c>
      <c r="B29" s="12">
        <f>B28/B26-1</f>
        <v>-0.6350839832319004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0.107716</v>
      </c>
      <c r="B5" s="31">
        <v>83.87899179757477</v>
      </c>
      <c r="C5" s="31">
        <v>86.02004250873918</v>
      </c>
      <c r="D5" s="31">
        <v>88.40859578458227</v>
      </c>
      <c r="E5" s="31">
        <v>91.09242220606788</v>
      </c>
      <c r="F5" s="31">
        <v>94.13243130046142</v>
      </c>
    </row>
    <row r="6" spans="1:6" x14ac:dyDescent="0.25">
      <c r="A6" s="30">
        <v>0.117716</v>
      </c>
      <c r="B6" s="31">
        <v>76.38564615360443</v>
      </c>
      <c r="C6" s="31">
        <v>77.98286536451418</v>
      </c>
      <c r="D6" s="31">
        <v>79.74263783629799</v>
      </c>
      <c r="E6" s="31">
        <v>81.6927612217571</v>
      </c>
      <c r="F6" s="31">
        <v>83.86775440121846</v>
      </c>
    </row>
    <row r="7" spans="1:6" x14ac:dyDescent="0.25">
      <c r="A7" s="30">
        <v>0.127716</v>
      </c>
      <c r="B7" s="31">
        <v>70.2234739628032</v>
      </c>
      <c r="C7" s="31">
        <v>71.43730734393453</v>
      </c>
      <c r="D7" s="32">
        <v>72.76088823713505</v>
      </c>
      <c r="E7" s="31">
        <v>74.211063552645</v>
      </c>
      <c r="F7" s="31">
        <v>75.80831428980258</v>
      </c>
    </row>
    <row r="8" spans="1:6" x14ac:dyDescent="0.25">
      <c r="A8" s="30">
        <v>0.137716</v>
      </c>
      <c r="B8" s="31">
        <v>65.06724341776216</v>
      </c>
      <c r="C8" s="31">
        <v>66.00354594740179</v>
      </c>
      <c r="D8" s="31">
        <v>67.01553629067985</v>
      </c>
      <c r="E8" s="31">
        <v>68.113754360001</v>
      </c>
      <c r="F8" s="31">
        <v>69.31079231131606</v>
      </c>
    </row>
    <row r="9" spans="1:6" x14ac:dyDescent="0.25">
      <c r="A9" s="30">
        <v>0.147716</v>
      </c>
      <c r="B9" s="31">
        <v>60.689723683704386</v>
      </c>
      <c r="C9" s="31">
        <v>61.42068735720638</v>
      </c>
      <c r="D9" s="31">
        <v>62.20470001160571</v>
      </c>
      <c r="E9" s="31">
        <v>63.04852143073352</v>
      </c>
      <c r="F9" s="31">
        <v>63.96011083485067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9005700000</v>
      </c>
      <c r="C5" s="18">
        <v>7003100000</v>
      </c>
      <c r="D5" s="18">
        <v>5860200000</v>
      </c>
      <c r="E5" s="18">
        <v>4381310000</v>
      </c>
      <c r="F5" s="8" t="s">
        <v>84</v>
      </c>
    </row>
    <row r="6" spans="1:6" x14ac:dyDescent="0.25">
      <c r="A6" t="s">
        <v>44</v>
      </c>
      <c r="B6" s="18">
        <v>3856100000</v>
      </c>
      <c r="C6" s="18">
        <v>2944600000</v>
      </c>
      <c r="D6" s="18">
        <v>2257300000</v>
      </c>
      <c r="E6" s="18">
        <v>1527106000</v>
      </c>
      <c r="F6" s="8" t="s">
        <v>85</v>
      </c>
    </row>
    <row r="7" spans="1:6" x14ac:dyDescent="0.25">
      <c r="A7" t="s">
        <v>86</v>
      </c>
      <c r="B7" s="18">
        <v>72600000</v>
      </c>
      <c r="C7" s="18">
        <v>62000000</v>
      </c>
      <c r="D7" s="18">
        <v>70600000</v>
      </c>
      <c r="E7" s="18">
        <v>62700000</v>
      </c>
      <c r="F7" s="8" t="s">
        <v>87</v>
      </c>
    </row>
    <row r="8" spans="1:6" x14ac:dyDescent="0.25">
      <c r="A8" t="s">
        <v>88</v>
      </c>
      <c r="B8" s="18">
        <v>119500000</v>
      </c>
      <c r="C8" s="18">
        <v>32000000</v>
      </c>
      <c r="D8" s="18">
        <v>34400000</v>
      </c>
      <c r="E8" s="18">
        <v>44644000</v>
      </c>
      <c r="F8" s="8" t="s">
        <v>89</v>
      </c>
    </row>
    <row r="9" spans="1:6" x14ac:dyDescent="0.25">
      <c r="A9" t="s">
        <v>90</v>
      </c>
      <c r="B9" s="18">
        <v>-687800000</v>
      </c>
      <c r="C9" s="18">
        <v>-985200000</v>
      </c>
      <c r="D9" s="18">
        <v>15900000</v>
      </c>
      <c r="E9" s="18">
        <v>912821000</v>
      </c>
      <c r="F9" s="8" t="s">
        <v>91</v>
      </c>
    </row>
    <row r="10" spans="1:6" x14ac:dyDescent="0.25">
      <c r="A10" t="s">
        <v>92</v>
      </c>
      <c r="B10" s="18">
        <v>0</v>
      </c>
      <c r="C10" s="18">
        <v>0</v>
      </c>
      <c r="D10" s="18">
        <v>0</v>
      </c>
      <c r="E10" s="18">
        <v>43964000</v>
      </c>
      <c r="F10" s="8" t="s">
        <v>93</v>
      </c>
    </row>
    <row r="11" spans="1:6" x14ac:dyDescent="0.25">
      <c r="A11" t="s">
        <v>94</v>
      </c>
      <c r="B11" s="18">
        <v>10743000000</v>
      </c>
      <c r="C11" s="18">
        <v>8303500000</v>
      </c>
      <c r="D11" s="18">
        <v>5007968000</v>
      </c>
      <c r="E11" s="18">
        <v>3023729000</v>
      </c>
      <c r="F11" s="8" t="s">
        <v>95</v>
      </c>
    </row>
    <row r="12" spans="1:6" x14ac:dyDescent="0.25">
      <c r="A12" t="s">
        <v>32</v>
      </c>
      <c r="B12" s="34">
        <v>1275700000</v>
      </c>
      <c r="C12" s="34">
        <v>1281077000</v>
      </c>
      <c r="D12" s="34">
        <v>1268540000</v>
      </c>
      <c r="E12" s="34">
        <v>1265836000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2026-09-19T00:08:14Z</dcterms:modified>
</cp:coreProperties>
</file>