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<sst xmlns="http://schemas.openxmlformats.org/spreadsheetml/2006/main" count="114" uniqueCount="102">
  <si>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Ansell Limited (ANN.AX)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</si>
  <si>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</si>
  <si>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</si>
  <si>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</si>
  <si>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</si>
  <si>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</si>
  <si>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</si>
  <si>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</si>
  <si>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</si>
  <si>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</si>
  <si>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</si>
  <si>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</si>
  <si>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</si>
  <si>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</si>
  <si>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</si>
  <si>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</si>
  <si>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</si>
  <si>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</si>
  <si>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</si>
  <si>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</si>
  <si>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</si>
  <si>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</si>
  <si>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</si>
  <si>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</si>
  <si>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</si>
  <si>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</si>
  <si>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</si>
  <si>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</si>
  <si>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</si>
  <si>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</si>
  <si>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</si>
  <si>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</si>
  <si>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</si>
  <si>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</si>
  <si>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</si>
  <si>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</si>
  <si>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</si>
  <si>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</si>
  <si>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</si>
  <si>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</si>
  <si>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</si>
  <si>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</si>
  <si>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</si>
  <si>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</si>
  <si>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</si>
  <si>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</si>
  <si>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</si>
  <si>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</si>
  <si>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</si>
  <si>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</si>
  <si>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</si>
  <si>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</si>
  <si>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</si>
  <si>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</si>
  <si>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</si>
  <si>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</si>
  <si>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</si>
  <si>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</si>
  <si>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</si>
  <si>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</si>
  <si>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</si>
  <si>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</si>
  <si>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</si>
  <si>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</si>
  <si>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</si>
  <si>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</si>
  <si>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</si>
  <si>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</si>
  <si>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</si>
  <si>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</si>
  <si>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</si>
  <si>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</si>
  <si>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</si>
  <si>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</si>
  <si>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</si>
  <si>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</si>
  <si>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</si>
  <si>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</si>
  <si>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</si>
  <si>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</si>
  <si>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</si>
  <si>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</si>
  <si>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</si>
  <si>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</si>
  <si>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</si>
  <si>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</si>
  <si>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</si>
  <si>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</si>
  <si>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</si>
  <si>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</si>
  <si>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</si>
  <si>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</si>
  <si>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</si>
  <si>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</si>
  <si>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</si>
  <si>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</si>
  <si>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</si>
  <si>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</si>
  <si>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</si>
  <si>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</si>
  <si>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Current EV/EBITDA of 20.2x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</si>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</sst>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0.08945686625555216</v>
      </c>
    </row>
    <row r="7" spans="1:2" x14ac:dyDescent="0.25">
      <c r="A7" t="s">
        <v>5</v>
      </c>
      <c r="B7" s="6">
        <v>0.07161357885616189</v>
      </c>
    </row>
    <row r="8" spans="1:2" x14ac:dyDescent="0.25">
      <c r="A8" t="s">
        <v>6</v>
      </c>
      <c r="B8" s="6">
        <v>0.26520662397687156</v>
      </c>
    </row>
    <row r="9" spans="1:2" x14ac:dyDescent="0.25">
      <c r="A9" t="s">
        <v>7</v>
      </c>
      <c r="B9" s="6">
        <v>0.04012430509991157</v>
      </c>
    </row>
    <row r="10" spans="1:2" x14ac:dyDescent="0.25">
      <c r="A10" t="s">
        <v>8</v>
      </c>
      <c r="B10" s="6">
        <v>0.03421798609470745</v>
      </c>
    </row>
    <row r="11" spans="1:2" x14ac:dyDescent="0.25">
      <c r="A11" t="s">
        <v>9</v>
      </c>
      <c r="B11" s="6">
        <v>0.3731770833333333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0.09077916933526603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0.73066</v>
      </c>
      <c r="C19" s="8" t="s">
        <v>19</v>
      </c>
    </row>
    <row r="20" spans="1:2" x14ac:dyDescent="0.25">
      <c r="A20" t="s">
        <v>20</v>
      </c>
      <c r="B20" s="10">
        <f>B17+B19*B18</f>
        <v>0.0973196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5955509760</v>
      </c>
    </row>
    <row r="23" spans="1:2" x14ac:dyDescent="0.25">
      <c r="A23" t="s">
        <v>24</v>
      </c>
      <c r="B23" s="11">
        <v>756600000</v>
      </c>
    </row>
    <row r="24" spans="1:2" x14ac:dyDescent="0.25">
      <c r="A24" t="s">
        <v>25</v>
      </c>
      <c r="B24" s="10">
        <f>B22/(B22+B23)</f>
        <v>0.8872783629807627</v>
      </c>
    </row>
    <row r="25" spans="1:2" x14ac:dyDescent="0.25">
      <c r="A25" t="s">
        <v>26</v>
      </c>
      <c r="B25" s="10">
        <f>1-B24</f>
        <v>0.11272163701923732</v>
      </c>
    </row>
    <row r="26" spans="1:2" x14ac:dyDescent="0.25">
      <c r="A26" t="s">
        <v>27</v>
      </c>
      <c r="B26" s="12">
        <f>B24*B20+B25*B21*(1-B8)</f>
        <v>0.09077916933526603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2140200000</v>
      </c>
      <c r="C29" s="8" t="s">
        <v>30</v>
      </c>
    </row>
    <row r="30" spans="1:2" x14ac:dyDescent="0.25">
      <c r="A30" t="s">
        <v>31</v>
      </c>
      <c r="B30" s="11">
        <v>507100000</v>
      </c>
    </row>
    <row r="31" spans="1:2" x14ac:dyDescent="0.25">
      <c r="A31" t="s">
        <v>32</v>
      </c>
      <c r="B31" s="13">
        <v>143762922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0.08945686625555216</v>
      </c>
      <c r="C5" s="10">
        <f>Assumptions!B6</f>
        <v>0.08945686625555216</v>
      </c>
      <c r="D5" s="10">
        <f>Assumptions!B6</f>
        <v>0.08945686625555216</v>
      </c>
      <c r="E5" s="10">
        <f>Assumptions!B6</f>
        <v>0.08945686625555216</v>
      </c>
      <c r="F5" s="10">
        <f>Assumptions!B6</f>
        <v>0.08945686625555216</v>
      </c>
    </row>
    <row r="6" spans="1:6" x14ac:dyDescent="0.25">
      <c r="A6" t="s">
        <v>43</v>
      </c>
      <c r="B6" s="18">
        <f>Assumptions!B29*(1+B5)</f>
        <v>2331655585.160133</v>
      </c>
      <c r="C6" s="18">
        <f>B6*(1+C5)</f>
        <v>2540238186.9958143</v>
      </c>
      <c r="D6" s="18">
        <f>C6*(1+D5)</f>
        <v>2767479934.747145</v>
      </c>
      <c r="E6" s="18">
        <f>D6*(1+E5)</f>
        <v>3015050017.1347446</v>
      </c>
      <c r="F6" s="18">
        <f>E6*(1+F5)</f>
        <v>3284766943.2713675</v>
      </c>
    </row>
    <row r="7" spans="1:6" x14ac:dyDescent="0.25">
      <c r="A7" t="s">
        <v>5</v>
      </c>
      <c r="B7" s="10">
        <f>Assumptions!B7</f>
        <v>0.07161357885616189</v>
      </c>
      <c r="C7" s="10">
        <f>Assumptions!B7</f>
        <v>0.07161357885616189</v>
      </c>
      <c r="D7" s="10">
        <f>Assumptions!B7</f>
        <v>0.07161357885616189</v>
      </c>
      <c r="E7" s="10">
        <f>Assumptions!B7</f>
        <v>0.07161357885616189</v>
      </c>
      <c r="F7" s="10">
        <f>Assumptions!B7</f>
        <v>0.07161357885616189</v>
      </c>
    </row>
    <row r="8" spans="1:6" x14ac:dyDescent="0.25">
      <c r="A8" t="s">
        <v>44</v>
      </c>
      <c r="B8" s="18">
        <f>B6*B7</f>
        <v>166978201.11327547</v>
      </c>
      <c r="C8" s="18">
        <f>C6*C7</f>
        <v>181915547.71785846</v>
      </c>
      <c r="D8" s="18">
        <f>D6*D7</f>
        <v>198189142.53986043</v>
      </c>
      <c r="E8" s="18">
        <f>E6*E7</f>
        <v>215918522.1573513</v>
      </c>
      <c r="F8" s="18">
        <f>F6*F7</f>
        <v>235233916.51607794</v>
      </c>
    </row>
    <row r="9" spans="1:6" x14ac:dyDescent="0.25">
      <c r="A9" t="s">
        <v>45</v>
      </c>
      <c r="B9" s="18">
        <f>B8*(1-Assumptions!B8)</f>
        <v>122694476.11829259</v>
      </c>
      <c r="C9" s="18">
        <f>C8*(1-Assumptions!B8)</f>
        <v>133670339.45870174</v>
      </c>
      <c r="D9" s="18">
        <f>D8*(1-Assumptions!B8)</f>
        <v>145628069.13799307</v>
      </c>
      <c r="E9" s="18">
        <f>E8*(1-Assumptions!B8)</f>
        <v>158655499.84192482</v>
      </c>
      <c r="F9" s="18">
        <f>F8*(1-Assumptions!B8)</f>
        <v>172848323.67199165</v>
      </c>
    </row>
    <row r="10" spans="1:6" x14ac:dyDescent="0.25">
      <c r="A10" t="s">
        <v>46</v>
      </c>
      <c r="B10" s="18">
        <f>B6*Assumptions!B9</f>
        <v>93556060.08687802</v>
      </c>
      <c r="C10" s="18">
        <f>C6*Assumptions!B9</f>
        <v>101925292.04146628</v>
      </c>
      <c r="D10" s="18">
        <f>D6*Assumptions!B9</f>
        <v>111043209.25967781</v>
      </c>
      <c r="E10" s="18">
        <f>E6*Assumptions!B9</f>
        <v>120976786.7790081</v>
      </c>
      <c r="F10" s="18">
        <f>F6*Assumptions!B9</f>
        <v>131798991.01392427</v>
      </c>
    </row>
    <row r="11" spans="1:6" x14ac:dyDescent="0.25">
      <c r="A11" t="s">
        <v>47</v>
      </c>
      <c r="B11" s="18">
        <f>-B6*Assumptions!B10</f>
        <v>-79784558.39065638</v>
      </c>
      <c r="C11" s="18">
        <f>-C6*Assumptions!B10</f>
        <v>-86921834.95986764</v>
      </c>
      <c r="D11" s="18">
        <f>-D6*Assumptions!B10</f>
        <v>-94697589.9245597</v>
      </c>
      <c r="E11" s="18">
        <f>-E6*Assumptions!B10</f>
        <v>-103168939.56116416</v>
      </c>
      <c r="F11" s="18">
        <f>-F6*Assumptions!B10</f>
        <v>-112398109.58921434</v>
      </c>
    </row>
    <row r="12" spans="1:6" x14ac:dyDescent="0.25">
      <c r="A12" t="s">
        <v>48</v>
      </c>
      <c r="B12" s="18">
        <f>-(B6-Assumptions!B29)*Assumptions!B11</f>
        <v>-71446836.85793501</v>
      </c>
      <c r="C12" s="18">
        <f>-(C6-B6)*Assumptions!B11</f>
        <v>-77838246.98711757</v>
      </c>
      <c r="D12" s="18">
        <f>-(D6-C6)*Assumptions!B11</f>
        <v>-84801412.6374107</v>
      </c>
      <c r="E12" s="18">
        <f>-(E6-D6)*Assumptions!B11</f>
        <v>-92387481.26599741</v>
      </c>
      <c r="F12" s="18">
        <f>-(F6-E6)*Assumptions!B11</f>
        <v>-100652175.82129703</v>
      </c>
    </row>
    <row r="13" spans="1:6" x14ac:dyDescent="0.25">
      <c r="A13" s="19" t="s">
        <v>49</v>
      </c>
      <c r="B13" s="20">
        <f>B9+B10+B11+B12</f>
        <v>65019140.95657921</v>
      </c>
      <c r="C13" s="20">
        <f>C9+C10+C11+C12</f>
        <v>70835549.5531828</v>
      </c>
      <c r="D13" s="20">
        <f>D9+D10+D11+D12</f>
        <v>77172275.83570045</v>
      </c>
      <c r="E13" s="20">
        <f>E9+E10+E11+E12</f>
        <v>84075865.79377139</v>
      </c>
      <c r="F13" s="20">
        <f>F9+F10+F11+F12</f>
        <v>91597029.27540459</v>
      </c>
    </row>
    <row r="14" spans="1:6" x14ac:dyDescent="0.25">
      <c r="A14" t="s">
        <v>50</v>
      </c>
      <c r="B14" s="21">
        <f>1/(1+Assumptions!$B$26)^(1-0.5*Assumptions!$B$32)</f>
        <v>0.9574841251327126</v>
      </c>
      <c r="C14" s="21">
        <f>1/(1+Assumptions!$B$26)^(2-0.5*Assumptions!$B$32)</f>
        <v>0.8777983225662578</v>
      </c>
      <c r="D14" s="21">
        <f>1/(1+Assumptions!$B$26)^(3-0.5*Assumptions!$B$32)</f>
        <v>0.8047443031949344</v>
      </c>
      <c r="E14" s="21">
        <f>1/(1+Assumptions!$B$26)^(4-0.5*Assumptions!$B$32)</f>
        <v>0.7377701424985547</v>
      </c>
      <c r="F14" s="21">
        <f>1/(1+Assumptions!$B$26)^(5-0.5*Assumptions!$B$32)</f>
        <v>0.6763698494060542</v>
      </c>
    </row>
    <row r="15" spans="1:6" x14ac:dyDescent="0.25">
      <c r="A15" s="19" t="s">
        <v>51</v>
      </c>
      <c r="B15" s="20">
        <f>B13*B14</f>
        <v>62254795.29569077</v>
      </c>
      <c r="C15" s="20">
        <f>C13*C14</f>
        <v>62179326.57584289</v>
      </c>
      <c r="D15" s="20">
        <f>D13*D14</f>
        <v>62103949.34336803</v>
      </c>
      <c r="E15" s="20">
        <f>E13*E14</f>
        <v>62028663.487360075</v>
      </c>
      <c r="F15" s="20">
        <f>F13*F14</f>
        <v>61953468.89704733</v>
      </c>
    </row>
    <row r="17" spans="1:2" x14ac:dyDescent="0.25">
      <c r="A17" s="22" t="s">
        <v>52</v>
      </c>
      <c r="B17" s="23">
        <f>SUM(B15:F15)</f>
        <v>310520203.5993091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91597029.27540459</v>
      </c>
    </row>
    <row r="5" spans="1:2" x14ac:dyDescent="0.25">
      <c r="A5" t="s">
        <v>56</v>
      </c>
      <c r="B5" s="18">
        <f>IF(Assumptions!$B$33=0,B4,B4-Forecast!F11-Forecast!F10-Forecast!F12)</f>
        <v>172848323.67199165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0.2753935752338721</v>
      </c>
    </row>
    <row r="7" spans="1:2" x14ac:dyDescent="0.25">
      <c r="A7" t="s">
        <v>58</v>
      </c>
      <c r="B7" s="18">
        <f>-MAX(Forecast!F9,0)*B6</f>
        <v>-47601317.8292113</v>
      </c>
    </row>
    <row r="8" spans="1:2" x14ac:dyDescent="0.25">
      <c r="A8" t="s">
        <v>59</v>
      </c>
      <c r="B8" s="18">
        <f>IF(OR(Assumptions!$B$33=0,Assumptions!B12&lt;=0),B5,MAX(B5+B7,0))</f>
        <v>125247005.84278035</v>
      </c>
    </row>
    <row r="9" spans="1:2" x14ac:dyDescent="0.25">
      <c r="A9" t="s">
        <v>60</v>
      </c>
      <c r="B9" s="18">
        <f>B8*(1+Assumptions!B12)/(Assumptions!B26-Assumptions!B12)</f>
        <v>1951654030.9976635</v>
      </c>
    </row>
    <row r="10" spans="1:2" x14ac:dyDescent="0.25">
      <c r="A10" t="s">
        <v>61</v>
      </c>
      <c r="B10" s="18">
        <f>B9/(1+Assumptions!B26)^(5-0.5*Assumptions!B32)</f>
        <v>1320039943.0386083</v>
      </c>
    </row>
    <row r="11" spans="1:2" x14ac:dyDescent="0.25">
      <c r="A11" t="s">
        <v>62</v>
      </c>
      <c r="B11" s="18">
        <f>Forecast!B17+B10</f>
        <v>1630560146.6379175</v>
      </c>
    </row>
    <row r="12" spans="1:2" x14ac:dyDescent="0.25">
      <c r="A12" t="s">
        <v>63</v>
      </c>
      <c r="B12" s="18">
        <f>-Assumptions!B30</f>
        <v>-507100000</v>
      </c>
    </row>
    <row r="13" spans="1:2" x14ac:dyDescent="0.25">
      <c r="A13" t="s">
        <v>64</v>
      </c>
      <c r="B13" s="18">
        <f>B11+B12</f>
        <v>1123460146.6379175</v>
      </c>
    </row>
    <row r="14" spans="1:2" x14ac:dyDescent="0.25">
      <c r="A14" s="19" t="s">
        <v>65</v>
      </c>
      <c r="B14" s="24">
        <f>B13/Assumptions!B31</f>
        <v>7.814672455237919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367032907.53000224</v>
      </c>
    </row>
    <row r="18" spans="1:2" x14ac:dyDescent="0.25">
      <c r="A18" t="s">
        <v>60</v>
      </c>
      <c r="B18" s="18">
        <f>B17*Assumptions!B13</f>
        <v>7340658150.600044</v>
      </c>
    </row>
    <row r="19" spans="1:2" x14ac:dyDescent="0.25">
      <c r="A19" t="s">
        <v>61</v>
      </c>
      <c r="B19" s="18">
        <f>B18/(1+Assumptions!B26)^(5-0.5*Assumptions!B32)</f>
        <v>4964999847.862676</v>
      </c>
    </row>
    <row r="20" spans="1:2" x14ac:dyDescent="0.25">
      <c r="A20" t="s">
        <v>62</v>
      </c>
      <c r="B20" s="18">
        <f>Forecast!B17+B19</f>
        <v>5275520051.461985</v>
      </c>
    </row>
    <row r="21" spans="1:2" x14ac:dyDescent="0.25">
      <c r="A21" t="s">
        <v>63</v>
      </c>
      <c r="B21" s="18">
        <f>-Assumptions!B30</f>
        <v>-507100000</v>
      </c>
    </row>
    <row r="22" spans="1:2" x14ac:dyDescent="0.25">
      <c r="A22" t="s">
        <v>64</v>
      </c>
      <c r="B22" s="18">
        <f>B20+B21</f>
        <v>4768420051.461985</v>
      </c>
    </row>
    <row r="23" spans="1:2" x14ac:dyDescent="0.25">
      <c r="A23" s="19" t="s">
        <v>65</v>
      </c>
      <c r="B23" s="25">
        <f>B22/Assumptions!B31</f>
        <v>33.16863614849164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42.31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10.973363061645085</v>
      </c>
    </row>
    <row r="29" spans="1:2" x14ac:dyDescent="0.25">
      <c r="A29" s="19" t="s">
        <v>73</v>
      </c>
      <c r="B29" s="12">
        <f>B28/B26-1</f>
        <v>-0.7406437470658217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0.070779</v>
      </c>
      <c r="B5" s="31">
        <v>11.410054337997966</v>
      </c>
      <c r="C5" s="31">
        <v>11.47249026424749</v>
      </c>
      <c r="D5" s="31">
        <v>11.534926190497005</v>
      </c>
      <c r="E5" s="31">
        <v>11.597362116746528</v>
      </c>
      <c r="F5" s="31">
        <v>11.659798042996051</v>
      </c>
    </row>
    <row r="6" spans="1:6" x14ac:dyDescent="0.25">
      <c r="A6" s="30">
        <v>0.080779</v>
      </c>
      <c r="B6" s="31">
        <v>9.33355567937673</v>
      </c>
      <c r="C6" s="31">
        <v>9.386021174228315</v>
      </c>
      <c r="D6" s="31">
        <v>9.4384866690799</v>
      </c>
      <c r="E6" s="31">
        <v>9.490952163931484</v>
      </c>
      <c r="F6" s="31">
        <v>9.543417658783069</v>
      </c>
    </row>
    <row r="7" spans="1:6" x14ac:dyDescent="0.25">
      <c r="A7" s="30">
        <v>0.090779</v>
      </c>
      <c r="B7" s="31">
        <v>7.725115520842931</v>
      </c>
      <c r="C7" s="31">
        <v>7.769906177951107</v>
      </c>
      <c r="D7" s="32">
        <v>7.814696835059276</v>
      </c>
      <c r="E7" s="31">
        <v>7.85948749216745</v>
      </c>
      <c r="F7" s="31">
        <v>7.9042781492756236</v>
      </c>
    </row>
    <row r="8" spans="1:6" x14ac:dyDescent="0.25">
      <c r="A8" s="30">
        <v>0.100779</v>
      </c>
      <c r="B8" s="31">
        <v>6.444857715467631</v>
      </c>
      <c r="C8" s="31">
        <v>6.4835805936066855</v>
      </c>
      <c r="D8" s="31">
        <v>6.522303471745737</v>
      </c>
      <c r="E8" s="31">
        <v>6.5610263498847905</v>
      </c>
      <c r="F8" s="31">
        <v>6.599749228023842</v>
      </c>
    </row>
    <row r="9" spans="1:6" x14ac:dyDescent="0.25">
      <c r="A9" s="30">
        <v>0.110779</v>
      </c>
      <c r="B9" s="31">
        <v>5.403444931741086</v>
      </c>
      <c r="C9" s="31">
        <v>5.437267483665349</v>
      </c>
      <c r="D9" s="31">
        <v>5.471090035589608</v>
      </c>
      <c r="E9" s="31">
        <v>5.504912587513866</v>
      </c>
      <c r="F9" s="31">
        <v>5.538735139438126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2140200000</v>
      </c>
      <c r="C5" s="18">
        <v>2003300000</v>
      </c>
      <c r="D5" s="18">
        <v>1619300000</v>
      </c>
      <c r="E5" s="18">
        <v>1655100000</v>
      </c>
      <c r="F5" s="8" t="s">
        <v>84</v>
      </c>
    </row>
    <row r="6" spans="1:6" x14ac:dyDescent="0.25">
      <c r="A6" t="s">
        <v>44</v>
      </c>
      <c r="B6" s="18">
        <v>240800000</v>
      </c>
      <c r="C6" s="18">
        <v>109100000</v>
      </c>
      <c r="D6" s="18">
        <v>56700000</v>
      </c>
      <c r="E6" s="18">
        <v>139800000</v>
      </c>
      <c r="F6" s="8" t="s">
        <v>85</v>
      </c>
    </row>
    <row r="7" spans="1:6" x14ac:dyDescent="0.25">
      <c r="A7" t="s">
        <v>86</v>
      </c>
      <c r="B7" s="18">
        <v>79700000</v>
      </c>
      <c r="C7" s="18">
        <v>74800000</v>
      </c>
      <c r="D7" s="18">
        <v>72600000</v>
      </c>
      <c r="E7" s="18">
        <v>68000000</v>
      </c>
      <c r="F7" s="8" t="s">
        <v>87</v>
      </c>
    </row>
    <row r="8" spans="1:6" x14ac:dyDescent="0.25">
      <c r="A8" t="s">
        <v>88</v>
      </c>
      <c r="B8" s="18">
        <v>49000000</v>
      </c>
      <c r="C8" s="18">
        <v>69300000</v>
      </c>
      <c r="D8" s="18">
        <v>62800000</v>
      </c>
      <c r="E8" s="18">
        <v>67200000</v>
      </c>
      <c r="F8" s="8" t="s">
        <v>89</v>
      </c>
    </row>
    <row r="9" spans="1:6" x14ac:dyDescent="0.25">
      <c r="A9" t="s">
        <v>90</v>
      </c>
      <c r="B9" s="18">
        <v>-700000</v>
      </c>
      <c r="C9" s="18">
        <v>143300000</v>
      </c>
      <c r="D9" s="18">
        <v>-56700000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756600000</v>
      </c>
      <c r="C10" s="18">
        <v>805600000</v>
      </c>
      <c r="D10" s="18">
        <v>857200000</v>
      </c>
      <c r="E10" s="18">
        <v>494300000</v>
      </c>
      <c r="F10" s="8" t="s">
        <v>93</v>
      </c>
    </row>
    <row r="11" spans="1:6" x14ac:dyDescent="0.25">
      <c r="A11" t="s">
        <v>94</v>
      </c>
      <c r="B11" s="18">
        <v>249500000</v>
      </c>
      <c r="C11" s="18">
        <v>238300000</v>
      </c>
      <c r="D11" s="18">
        <v>912300000</v>
      </c>
      <c r="E11" s="18">
        <v>159400000</v>
      </c>
      <c r="F11" s="8" t="s">
        <v>95</v>
      </c>
    </row>
    <row r="12" spans="1:6" x14ac:dyDescent="0.25">
      <c r="A12" t="s">
        <v>32</v>
      </c>
      <c r="B12" s="34">
        <v>143762922</v>
      </c>
      <c r="C12" s="34">
        <v>146187050</v>
      </c>
      <c r="D12" s="34">
        <v>129441624</v>
      </c>
      <c r="E12" s="34">
        <v>127077978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2026-09-19T00:06:15Z</dcterms:modified>
</cp:coreProperties>
</file>