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<sst xmlns="http://schemas.openxmlformats.org/spreadsheetml/2006/main" count="114" uniqueCount="102">
  <si>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Antofagasta plc (ANTO.L)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</si>
  <si>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</si>
  <si>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</si>
  <si>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</si>
  <si>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</si>
  <si>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</si>
  <si>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</si>
  <si>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</si>
  <si>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</si>
  <si>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</si>
  <si>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</si>
  <si>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</si>
  <si>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</si>
  <si>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</si>
  <si>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</si>
  <si>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</si>
  <si>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</si>
  <si>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</si>
  <si>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</si>
  <si>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</si>
  <si>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</si>
  <si>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</si>
  <si>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</si>
  <si>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</si>
  <si>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</si>
  <si>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</si>
  <si>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</si>
  <si>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</si>
  <si>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</si>
  <si>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</si>
  <si>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</si>
  <si>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</si>
  <si>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</si>
  <si>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</si>
  <si>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</si>
  <si>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</si>
  <si>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</si>
  <si>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</si>
  <si>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</si>
  <si>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</si>
  <si>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</si>
  <si>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</si>
  <si>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</si>
  <si>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</si>
  <si>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</si>
  <si>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</si>
  <si>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</si>
  <si>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</si>
  <si>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</si>
  <si>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</si>
  <si>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</si>
  <si>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</si>
  <si>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</si>
  <si>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</si>
  <si>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</si>
  <si>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</si>
  <si>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</si>
  <si>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</si>
  <si>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</si>
  <si>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</si>
  <si>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</si>
  <si>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</si>
  <si>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</si>
  <si>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</si>
  <si>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</si>
  <si>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</si>
  <si>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</si>
  <si>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</si>
  <si>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</si>
  <si>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</si>
  <si>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</si>
  <si>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</si>
  <si>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</si>
  <si>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</si>
  <si>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</si>
  <si>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</si>
  <si>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</si>
  <si>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</si>
  <si>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</si>
  <si>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</si>
  <si>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</si>
  <si>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</si>
  <si>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</si>
  <si>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</si>
  <si>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</si>
  <si>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</si>
  <si>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</si>
  <si>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</si>
  <si>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</si>
  <si>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</si>
  <si>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</si>
  <si>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</si>
  <si>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</si>
  <si>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</si>
  <si>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</si>
  <si>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</si>
  <si>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</si>
  <si>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</si>
  <si>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</si>
  <si>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Adjusted: Capital expenditure runs at 36.2% of revenue against depreciation of 20.5%.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</si>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</sst>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0.13717033545647728</v>
      </c>
    </row>
    <row r="7" spans="1:2" x14ac:dyDescent="0.25">
      <c r="A7" t="s">
        <v>5</v>
      </c>
      <c r="B7" s="6">
        <v>0.3035346506701292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0.2049963656604279</v>
      </c>
    </row>
    <row r="10" spans="1:2" x14ac:dyDescent="0.25">
      <c r="A10" t="s">
        <v>8</v>
      </c>
      <c r="B10" s="6">
        <v>0.36244018341673656</v>
      </c>
    </row>
    <row r="11" spans="1:2" x14ac:dyDescent="0.25">
      <c r="A11" t="s">
        <v>9</v>
      </c>
      <c r="B11" s="6">
        <v>-0.07135135135135136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7.496327777167517</v>
      </c>
    </row>
    <row r="14" spans="1:3" x14ac:dyDescent="0.25">
      <c r="A14" t="s">
        <v>12</v>
      </c>
      <c r="B14" s="6">
        <v>0.10564433702533901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1.27202</v>
      </c>
      <c r="C19" s="8" t="s">
        <v>19</v>
      </c>
    </row>
    <row r="20" spans="1:2" x14ac:dyDescent="0.25">
      <c r="A20" t="s">
        <v>20</v>
      </c>
      <c r="B20" s="10">
        <f>B17+B19*B18</f>
        <v>0.1149611</v>
      </c>
    </row>
    <row r="21" spans="1:3" x14ac:dyDescent="0.25">
      <c r="A21" t="s">
        <v>21</v>
      </c>
      <c r="B21" s="6">
        <v>0.05969908954058427</v>
      </c>
      <c r="C21" s="8" t="s">
        <v>22</v>
      </c>
    </row>
    <row r="22" spans="1:2" x14ac:dyDescent="0.25">
      <c r="A22" t="s">
        <v>23</v>
      </c>
      <c r="B22" s="11">
        <v>36052779008</v>
      </c>
    </row>
    <row r="23" spans="1:2" x14ac:dyDescent="0.25">
      <c r="A23" t="s">
        <v>24</v>
      </c>
      <c r="B23" s="11">
        <v>7073300000</v>
      </c>
    </row>
    <row r="24" spans="1:2" x14ac:dyDescent="0.25">
      <c r="A24" t="s">
        <v>25</v>
      </c>
      <c r="B24" s="10">
        <f>B22/(B22+B23)</f>
        <v>0.8359855529947927</v>
      </c>
    </row>
    <row r="25" spans="1:2" x14ac:dyDescent="0.25">
      <c r="A25" t="s">
        <v>26</v>
      </c>
      <c r="B25" s="10">
        <f>1-B24</f>
        <v>0.1640144470052073</v>
      </c>
    </row>
    <row r="26" spans="1:2" x14ac:dyDescent="0.25">
      <c r="A26" t="s">
        <v>27</v>
      </c>
      <c r="B26" s="12">
        <f>B24*B20+B25*B21*(1-B8)</f>
        <v>0.10344945362467461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8620300000</v>
      </c>
      <c r="C29" s="8" t="s">
        <v>30</v>
      </c>
    </row>
    <row r="30" spans="1:2" x14ac:dyDescent="0.25">
      <c r="A30" t="s">
        <v>31</v>
      </c>
      <c r="B30" s="11">
        <v>2163500000</v>
      </c>
    </row>
    <row r="31" spans="1:2" x14ac:dyDescent="0.25">
      <c r="A31" t="s">
        <v>32</v>
      </c>
      <c r="B31" s="13">
        <v>985856695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0.13717033545647728</v>
      </c>
      <c r="C5" s="10">
        <f>Assumptions!B6</f>
        <v>0.13717033545647728</v>
      </c>
      <c r="D5" s="10">
        <f>Assumptions!B6</f>
        <v>0.13717033545647728</v>
      </c>
      <c r="E5" s="10">
        <f>Assumptions!B6</f>
        <v>0.13717033545647728</v>
      </c>
      <c r="F5" s="10">
        <f>Assumptions!B6</f>
        <v>0.13717033545647728</v>
      </c>
    </row>
    <row r="6" spans="1:6" x14ac:dyDescent="0.25">
      <c r="A6" t="s">
        <v>43</v>
      </c>
      <c r="B6" s="18">
        <f>Assumptions!B29*(1+B5)</f>
        <v>9802749442.735472</v>
      </c>
      <c r="C6" s="18">
        <f>B6*(1+C5)</f>
        <v>11147395872.191292</v>
      </c>
      <c r="D6" s="18">
        <f>C6*(1+D5)</f>
        <v>12676487903.44592</v>
      </c>
      <c r="E6" s="18">
        <f>D6*(1+E5)</f>
        <v>14415326001.571575</v>
      </c>
      <c r="F6" s="18">
        <f>E6*(1+F5)</f>
        <v>16392681104.921627</v>
      </c>
    </row>
    <row r="7" spans="1:6" x14ac:dyDescent="0.25">
      <c r="A7" t="s">
        <v>5</v>
      </c>
      <c r="B7" s="10">
        <f>Assumptions!B7</f>
        <v>0.3035346506701292</v>
      </c>
      <c r="C7" s="10">
        <f>Assumptions!B7</f>
        <v>0.3035346506701292</v>
      </c>
      <c r="D7" s="10">
        <f>Assumptions!B7</f>
        <v>0.3035346506701292</v>
      </c>
      <c r="E7" s="10">
        <f>Assumptions!B7</f>
        <v>0.3035346506701292</v>
      </c>
      <c r="F7" s="10">
        <f>Assumptions!B7</f>
        <v>0.3035346506701292</v>
      </c>
    </row>
    <row r="8" spans="1:6" x14ac:dyDescent="0.25">
      <c r="A8" t="s">
        <v>44</v>
      </c>
      <c r="B8" s="18">
        <f>B6*B7</f>
        <v>2975474127.7075152</v>
      </c>
      <c r="C8" s="18">
        <f>C6*C7</f>
        <v>3383620911.9472237</v>
      </c>
      <c r="D8" s="18">
        <f>D6*D7</f>
        <v>3847753327.496576</v>
      </c>
      <c r="E8" s="18">
        <f>E6*E7</f>
        <v>4375550942.183059</v>
      </c>
      <c r="F8" s="18">
        <f>F6*F7</f>
        <v>4975746732.729214</v>
      </c>
    </row>
    <row r="9" spans="1:6" x14ac:dyDescent="0.25">
      <c r="A9" t="s">
        <v>45</v>
      </c>
      <c r="B9" s="18">
        <f>B8*(1-Assumptions!B8)</f>
        <v>2231605595.7806363</v>
      </c>
      <c r="C9" s="18">
        <f>C8*(1-Assumptions!B8)</f>
        <v>2537715683.9604177</v>
      </c>
      <c r="D9" s="18">
        <f>D8*(1-Assumptions!B8)</f>
        <v>2885814995.6224318</v>
      </c>
      <c r="E9" s="18">
        <f>E8*(1-Assumptions!B8)</f>
        <v>3281663206.637294</v>
      </c>
      <c r="F9" s="18">
        <f>F8*(1-Assumptions!B8)</f>
        <v>3731810049.5469103</v>
      </c>
    </row>
    <row r="10" spans="1:6" x14ac:dyDescent="0.25">
      <c r="A10" t="s">
        <v>46</v>
      </c>
      <c r="B10" s="18">
        <f>B6*Assumptions!B9</f>
        <v>2009528009.2405565</v>
      </c>
      <c r="C10" s="18">
        <f>C6*Assumptions!B9</f>
        <v>2285175640.3772707</v>
      </c>
      <c r="D10" s="18">
        <f>D6*Assumptions!B9</f>
        <v>2598633949.5447907</v>
      </c>
      <c r="E10" s="18">
        <f>E6*Assumptions!B9</f>
        <v>2955089440.1324406</v>
      </c>
      <c r="F10" s="18">
        <f>F6*Assumptions!B9</f>
        <v>3360440049.939301</v>
      </c>
    </row>
    <row r="11" spans="1:6" x14ac:dyDescent="0.25">
      <c r="A11" t="s">
        <v>47</v>
      </c>
      <c r="B11" s="18">
        <f>-B6*Assumptions!B10</f>
        <v>-3552910306.0133567</v>
      </c>
      <c r="C11" s="18">
        <f>-C6*Assumptions!B10</f>
        <v>-4040264204.535984</v>
      </c>
      <c r="D11" s="18">
        <f>-D6*Assumptions!B10</f>
        <v>-4594468600.804982</v>
      </c>
      <c r="E11" s="18">
        <f>-E6*Assumptions!B10</f>
        <v>-5224693400.021653</v>
      </c>
      <c r="F11" s="18">
        <f>-F6*Assumptions!B10</f>
        <v>-5941366346.359866</v>
      </c>
    </row>
    <row r="12" spans="1:6" x14ac:dyDescent="0.25">
      <c r="A12" t="s">
        <v>48</v>
      </c>
      <c r="B12" s="18">
        <f>-(B6-Assumptions!B29)*Assumptions!B11</f>
        <v>84369365.64382826</v>
      </c>
      <c r="C12" s="18">
        <f>-(C6-B6)*Assumptions!B11</f>
        <v>95942339.83144231</v>
      </c>
      <c r="D12" s="18">
        <f>-(D6-C6)*Assumptions!B11</f>
        <v>109102782.77060057</v>
      </c>
      <c r="E12" s="18">
        <f>-(E6-D6)*Assumptions!B11</f>
        <v>124068448.08247912</v>
      </c>
      <c r="F12" s="18">
        <f>-(F6-E6)*Assumptions!B11</f>
        <v>141086958.72551724</v>
      </c>
    </row>
    <row r="13" spans="1:6" x14ac:dyDescent="0.25">
      <c r="A13" s="19" t="s">
        <v>49</v>
      </c>
      <c r="B13" s="20">
        <f>B9+B10+B11+B12</f>
        <v>772592664.6516641</v>
      </c>
      <c r="C13" s="20">
        <f>C9+C10+C11+C12</f>
        <v>878569459.6331468</v>
      </c>
      <c r="D13" s="20">
        <f>D9+D10+D11+D12</f>
        <v>999083127.1328413</v>
      </c>
      <c r="E13" s="20">
        <f>E9+E10+E11+E12</f>
        <v>1136127694.8305602</v>
      </c>
      <c r="F13" s="20">
        <f>F9+F10+F11+F12</f>
        <v>1291970711.851863</v>
      </c>
    </row>
    <row r="14" spans="1:6" x14ac:dyDescent="0.25">
      <c r="A14" t="s">
        <v>50</v>
      </c>
      <c r="B14" s="21">
        <f>1/(1+Assumptions!$B$26)^(1-0.5*Assumptions!$B$32)</f>
        <v>0.9519711301911872</v>
      </c>
      <c r="C14" s="21">
        <f>1/(1+Assumptions!$B$26)^(2-0.5*Assumptions!$B$32)</f>
        <v>0.8627229159107354</v>
      </c>
      <c r="D14" s="21">
        <f>1/(1+Assumptions!$B$26)^(3-0.5*Assumptions!$B$32)</f>
        <v>0.7818418080473132</v>
      </c>
      <c r="E14" s="21">
        <f>1/(1+Assumptions!$B$26)^(4-0.5*Assumptions!$B$32)</f>
        <v>0.708543382280968</v>
      </c>
      <c r="F14" s="21">
        <f>1/(1+Assumptions!$B$26)^(5-0.5*Assumptions!$B$32)</f>
        <v>0.6421167548305033</v>
      </c>
    </row>
    <row r="15" spans="1:6" x14ac:dyDescent="0.25">
      <c r="A15" s="19" t="s">
        <v>51</v>
      </c>
      <c r="B15" s="20">
        <f>B13*B14</f>
        <v>735485912.1458656</v>
      </c>
      <c r="C15" s="20">
        <f>C13*C14</f>
        <v>757962006.0448275</v>
      </c>
      <c r="D15" s="20">
        <f>D13*D14</f>
        <v>781124958.5071043</v>
      </c>
      <c r="E15" s="20">
        <f>E13*E14</f>
        <v>804995759.5983247</v>
      </c>
      <c r="F15" s="20">
        <f>F13*F14</f>
        <v>829596040.8303735</v>
      </c>
    </row>
    <row r="17" spans="1:2" x14ac:dyDescent="0.25">
      <c r="A17" s="22" t="s">
        <v>52</v>
      </c>
      <c r="B17" s="23">
        <f>SUM(B15:F15)</f>
        <v>3909164677.1264954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1291970711.851863</v>
      </c>
    </row>
    <row r="5" spans="1:2" x14ac:dyDescent="0.25">
      <c r="A5" t="s">
        <v>56</v>
      </c>
      <c r="B5" s="18">
        <f>IF(Assumptions!$B$33=0,B4,B4-Forecast!F11-Forecast!F10-Forecast!F12)</f>
        <v>3731810049.5469103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0.23664306771127447</v>
      </c>
    </row>
    <row r="7" spans="1:2" x14ac:dyDescent="0.25">
      <c r="A7" t="s">
        <v>58</v>
      </c>
      <c r="B7" s="18">
        <f>-MAX(Forecast!F9,0)*B6</f>
        <v>-883106978.240544</v>
      </c>
    </row>
    <row r="8" spans="1:2" x14ac:dyDescent="0.25">
      <c r="A8" t="s">
        <v>59</v>
      </c>
      <c r="B8" s="18">
        <f>IF(OR(Assumptions!$B$33=0,Assumptions!B12&lt;=0),B5,MAX(B5+B7,0))</f>
        <v>2848703071.3063664</v>
      </c>
    </row>
    <row r="9" spans="1:2" x14ac:dyDescent="0.25">
      <c r="A9" t="s">
        <v>60</v>
      </c>
      <c r="B9" s="18">
        <f>B8*(1+Assumptions!B12)/(Assumptions!B26-Assumptions!B12)</f>
        <v>37220407704.288025</v>
      </c>
    </row>
    <row r="10" spans="1:2" x14ac:dyDescent="0.25">
      <c r="A10" t="s">
        <v>61</v>
      </c>
      <c r="B10" s="18">
        <f>B9/(1+Assumptions!B26)^(5-0.5*Assumptions!B32)</f>
        <v>23899847408.545692</v>
      </c>
    </row>
    <row r="11" spans="1:2" x14ac:dyDescent="0.25">
      <c r="A11" t="s">
        <v>62</v>
      </c>
      <c r="B11" s="18">
        <f>Forecast!B17+B10</f>
        <v>27809012085.672188</v>
      </c>
    </row>
    <row r="12" spans="1:2" x14ac:dyDescent="0.25">
      <c r="A12" t="s">
        <v>63</v>
      </c>
      <c r="B12" s="18">
        <f>-Assumptions!B30</f>
        <v>-2163500000</v>
      </c>
    </row>
    <row r="13" spans="1:2" x14ac:dyDescent="0.25">
      <c r="A13" t="s">
        <v>64</v>
      </c>
      <c r="B13" s="18">
        <f>B11+B12</f>
        <v>25645512085.672188</v>
      </c>
    </row>
    <row r="14" spans="1:2" x14ac:dyDescent="0.25">
      <c r="A14" s="19" t="s">
        <v>65</v>
      </c>
      <c r="B14" s="24">
        <f>B13/Assumptions!B31</f>
        <v>26.01342793099578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8336186782.668514</v>
      </c>
    </row>
    <row r="18" spans="1:2" x14ac:dyDescent="0.25">
      <c r="A18" t="s">
        <v>60</v>
      </c>
      <c r="B18" s="18">
        <f>B17*Assumptions!B13</f>
        <v>62490788534.5747</v>
      </c>
    </row>
    <row r="19" spans="1:2" x14ac:dyDescent="0.25">
      <c r="A19" t="s">
        <v>61</v>
      </c>
      <c r="B19" s="18">
        <f>B18/(1+Assumptions!B26)^(5-0.5*Assumptions!B32)</f>
        <v>40126382340.62033</v>
      </c>
    </row>
    <row r="20" spans="1:2" x14ac:dyDescent="0.25">
      <c r="A20" t="s">
        <v>62</v>
      </c>
      <c r="B20" s="18">
        <f>Forecast!B17+B19</f>
        <v>44035547017.746826</v>
      </c>
    </row>
    <row r="21" spans="1:2" x14ac:dyDescent="0.25">
      <c r="A21" t="s">
        <v>63</v>
      </c>
      <c r="B21" s="18">
        <f>-Assumptions!B30</f>
        <v>-2163500000</v>
      </c>
    </row>
    <row r="22" spans="1:2" x14ac:dyDescent="0.25">
      <c r="A22" t="s">
        <v>64</v>
      </c>
      <c r="B22" s="18">
        <f>B20+B21</f>
        <v>41872047017.746826</v>
      </c>
    </row>
    <row r="23" spans="1:2" x14ac:dyDescent="0.25">
      <c r="A23" s="19" t="s">
        <v>65</v>
      </c>
      <c r="B23" s="25">
        <f>B22/Assumptions!B31</f>
        <v>42.47275210495662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3657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1942.2405696119376</v>
      </c>
    </row>
    <row r="29" spans="1:2" x14ac:dyDescent="0.25">
      <c r="A29" s="19" t="s">
        <v>73</v>
      </c>
      <c r="B29" s="12">
        <f>B28/B26-1</f>
        <v>-0.468897848068926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0.083449</v>
      </c>
      <c r="B5" s="31">
        <v>35.540682988925795</v>
      </c>
      <c r="C5" s="31">
        <v>36.357214783879634</v>
      </c>
      <c r="D5" s="31">
        <v>37.29207597154357</v>
      </c>
      <c r="E5" s="31">
        <v>38.37847467350361</v>
      </c>
      <c r="F5" s="31">
        <v>39.66332749721177</v>
      </c>
    </row>
    <row r="6" spans="1:6" x14ac:dyDescent="0.25">
      <c r="A6" s="30">
        <v>0.093449</v>
      </c>
      <c r="B6" s="31">
        <v>29.97614497456274</v>
      </c>
      <c r="C6" s="31">
        <v>30.373361689999076</v>
      </c>
      <c r="D6" s="31">
        <v>30.81110014312023</v>
      </c>
      <c r="E6" s="31">
        <v>31.29894009192509</v>
      </c>
      <c r="F6" s="31">
        <v>31.849739283086077</v>
      </c>
    </row>
    <row r="7" spans="1:6" x14ac:dyDescent="0.25">
      <c r="A7" s="30">
        <v>0.103449</v>
      </c>
      <c r="B7" s="31">
        <v>25.703215148747276</v>
      </c>
      <c r="C7" s="31">
        <v>25.856009749463613</v>
      </c>
      <c r="D7" s="32">
        <v>26.01361713360948</v>
      </c>
      <c r="E7" s="31">
        <v>26.177020183885002</v>
      </c>
      <c r="F7" s="31">
        <v>26.347488969859427</v>
      </c>
    </row>
    <row r="8" spans="1:6" x14ac:dyDescent="0.25">
      <c r="A8" s="30">
        <v>0.113449</v>
      </c>
      <c r="B8" s="31">
        <v>22.561651578976605</v>
      </c>
      <c r="C8" s="31">
        <v>22.664514437478758</v>
      </c>
      <c r="D8" s="31">
        <v>22.767377295980904</v>
      </c>
      <c r="E8" s="31">
        <v>22.87024015448306</v>
      </c>
      <c r="F8" s="31">
        <v>22.973103012985206</v>
      </c>
    </row>
    <row r="9" spans="1:6" x14ac:dyDescent="0.25">
      <c r="A9" s="30">
        <v>0.123449</v>
      </c>
      <c r="B9" s="31">
        <v>20.02662764009579</v>
      </c>
      <c r="C9" s="31">
        <v>20.11743018881732</v>
      </c>
      <c r="D9" s="31">
        <v>20.20823273753885</v>
      </c>
      <c r="E9" s="31">
        <v>20.299035286260388</v>
      </c>
      <c r="F9" s="31">
        <v>20.38983783498191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8620300000</v>
      </c>
      <c r="C5" s="18">
        <v>6613400000</v>
      </c>
      <c r="D5" s="18">
        <v>6324500000</v>
      </c>
      <c r="E5" s="18">
        <v>5862000000</v>
      </c>
      <c r="F5" s="8" t="s">
        <v>84</v>
      </c>
    </row>
    <row r="6" spans="1:6" x14ac:dyDescent="0.25">
      <c r="A6" t="s">
        <v>44</v>
      </c>
      <c r="B6" s="18">
        <v>3402600000</v>
      </c>
      <c r="C6" s="18">
        <v>1662700000</v>
      </c>
      <c r="D6" s="18">
        <v>1808500000</v>
      </c>
      <c r="E6" s="18">
        <v>1653400000</v>
      </c>
      <c r="F6" s="8" t="s">
        <v>85</v>
      </c>
    </row>
    <row r="7" spans="1:6" x14ac:dyDescent="0.25">
      <c r="A7" t="s">
        <v>86</v>
      </c>
      <c r="B7" s="18">
        <v>1695400000</v>
      </c>
      <c r="C7" s="18">
        <v>1568200000</v>
      </c>
      <c r="D7" s="18">
        <v>1211300000</v>
      </c>
      <c r="E7" s="18">
        <v>1141100000</v>
      </c>
      <c r="F7" s="8" t="s">
        <v>87</v>
      </c>
    </row>
    <row r="8" spans="1:6" x14ac:dyDescent="0.25">
      <c r="A8" t="s">
        <v>88</v>
      </c>
      <c r="B8" s="18">
        <v>3684500000</v>
      </c>
      <c r="C8" s="18">
        <v>2414600000</v>
      </c>
      <c r="D8" s="18">
        <v>2129200000</v>
      </c>
      <c r="E8" s="18">
        <v>1879200000</v>
      </c>
      <c r="F8" s="8" t="s">
        <v>89</v>
      </c>
    </row>
    <row r="9" spans="1:6" x14ac:dyDescent="0.25">
      <c r="A9" t="s">
        <v>90</v>
      </c>
      <c r="B9" s="18">
        <v>766400000</v>
      </c>
      <c r="C9" s="18">
        <v>-65100000</v>
      </c>
      <c r="D9" s="18">
        <v>-33000000</v>
      </c>
      <c r="E9" s="18">
        <v>39200000</v>
      </c>
      <c r="F9" s="8" t="s">
        <v>91</v>
      </c>
    </row>
    <row r="10" spans="1:6" x14ac:dyDescent="0.25">
      <c r="A10" t="s">
        <v>92</v>
      </c>
      <c r="B10" s="18">
        <v>7073300000</v>
      </c>
      <c r="C10" s="18">
        <v>5349000000</v>
      </c>
      <c r="D10" s="18">
        <v>4076700000</v>
      </c>
      <c r="E10" s="18">
        <v>3274500000</v>
      </c>
      <c r="F10" s="8" t="s">
        <v>93</v>
      </c>
    </row>
    <row r="11" spans="1:6" x14ac:dyDescent="0.25">
      <c r="A11" t="s">
        <v>94</v>
      </c>
      <c r="B11" s="18">
        <v>4909800000</v>
      </c>
      <c r="C11" s="18">
        <v>4316300000</v>
      </c>
      <c r="D11" s="18">
        <v>3376600000</v>
      </c>
      <c r="E11" s="18">
        <v>2391200000</v>
      </c>
      <c r="F11" s="8" t="s">
        <v>95</v>
      </c>
    </row>
    <row r="12" spans="1:6" x14ac:dyDescent="0.25">
      <c r="A12" t="s">
        <v>32</v>
      </c>
      <c r="B12" s="34">
        <v>985856695</v>
      </c>
      <c r="C12" s="34">
        <v>985856695</v>
      </c>
      <c r="D12" s="34">
        <v>985856695</v>
      </c>
      <c r="E12" s="34">
        <v>985856695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2026-09-19T00:08:14Z</dcterms:modified>
</cp:coreProperties>
</file>