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<sst xmlns="http://schemas.openxmlformats.org/spreadsheetml/2006/main" count="116" uniqueCount="103">
  <si>
    <t>ANZ Group Holdings Limited (ANZ.AX)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</si>
  <si>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</si>
  <si>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</si>
  <si>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</si>
  <si>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</si>
  <si>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</si>
  <si>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</si>
  <si>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</si>
  <si>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</si>
  <si>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</si>
  <si>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</si>
  <si>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</si>
  <si>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</si>
  <si>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</si>
  <si>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</si>
  <si>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</si>
  <si>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</si>
  <si>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</si>
  <si>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</si>
  <si>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</si>
  <si>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</si>
  <si>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</si>
  <si>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Implied cost of debt of 21.6% is not a credible funding cost, so risk-free + 2bp is assumed instead. Interest expense and reported debt are measuring different things - common for banks, whose interest expense includes deposits that total debt excludes.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</si>
  <si>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</si>
  <si>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</si>
  <si>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</si>
  <si>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</si>
  <si>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</si>
  <si>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</si>
  <si>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</si>
  <si>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2025-09-30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</si>
  <si>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</si>
  <si>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</si>
  <si>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</si>
  <si>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</si>
  <si>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</si>
  <si>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</si>
  <si>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</si>
  <si>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</si>
  <si>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</si>
  <si>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</si>
  <si>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</si>
  <si>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</si>
  <si>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</si>
  <si>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</si>
  <si>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</si>
  <si>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</si>
  <si>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</si>
  <si>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</si>
  <si>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</si>
  <si>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</si>
  <si>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</si>
  <si>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</si>
  <si>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</si>
  <si>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</si>
  <si>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</si>
  <si>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</si>
  <si>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</si>
  <si>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</si>
  <si>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</si>
  <si>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</si>
  <si>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</si>
  <si>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</si>
  <si>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</si>
  <si>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</si>
  <si>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</si>
  <si>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</si>
  <si>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</si>
  <si>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</si>
  <si>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</si>
  <si>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</si>
  <si>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</si>
  <si>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</si>
  <si>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</si>
  <si>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</si>
  <si>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</si>
  <si>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</si>
  <si>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</si>
  <si>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</si>
  <si>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</si>
  <si>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</si>
  <si>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</si>
  <si>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</si>
  <si>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</si>
  <si>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</si>
  <si>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</si>
  <si>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</si>
  <si>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</si>
  <si>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</si>
  <si>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</si>
  <si>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</si>
  <si>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</si>
  <si>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</si>
  <si>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</si>
  <si>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</si>
  <si>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</si>
  <si>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</si>
  <si>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</si>
  <si>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</si>
  <si>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</si>
  <si>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Reported capital expenditure averages just 0.00% of revenue, which is too low to be the company's real investment - property trusts and similar structures invest through lines that are not reported as capex. Capex has been set to 4.82% of revenue so the forecast is not handed free growth. Override it if the reported figure is right.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</si>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</sst>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0.05486945057812398</v>
      </c>
    </row>
    <row r="7" spans="1:2" x14ac:dyDescent="0.25">
      <c r="A7" t="s">
        <v>5</v>
      </c>
      <c r="B7" s="6">
        <v>0.4706979694390244</v>
      </c>
    </row>
    <row r="8" spans="1:2" x14ac:dyDescent="0.25">
      <c r="A8" t="s">
        <v>6</v>
      </c>
      <c r="B8" s="6">
        <v>0.2969084391327367</v>
      </c>
    </row>
    <row r="9" spans="1:2" x14ac:dyDescent="0.25">
      <c r="A9" t="s">
        <v>7</v>
      </c>
      <c r="B9" s="6">
        <v>0.04820043018652301</v>
      </c>
    </row>
    <row r="10" spans="1:2" x14ac:dyDescent="0.25">
      <c r="A10" t="s">
        <v>8</v>
      </c>
      <c r="B10" s="6">
        <v>0.04820043018652301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0.051663167892526514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0.71123</v>
      </c>
      <c r="C19" s="8" t="s">
        <v>19</v>
      </c>
    </row>
    <row r="20" spans="1:2" x14ac:dyDescent="0.25">
      <c r="A20" t="s">
        <v>20</v>
      </c>
      <c r="B20" s="10">
        <f>B17+B19*B18</f>
        <v>0.0961538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219824000000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0.051663167892526514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22307000000</v>
      </c>
      <c r="C29" s="8" t="s">
        <v>30</v>
      </c>
    </row>
    <row r="30" spans="1:2" x14ac:dyDescent="0.25">
      <c r="A30" t="s">
        <v>31</v>
      </c>
      <c r="B30" s="11">
        <v>97106000000</v>
      </c>
    </row>
    <row r="31" spans="1:2" x14ac:dyDescent="0.25">
      <c r="A31" t="s">
        <v>32</v>
      </c>
      <c r="B31" s="13">
        <v>3179900000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0.05486945057812398</v>
      </c>
      <c r="C5" s="10">
        <f>Assumptions!B6</f>
        <v>0.05486945057812398</v>
      </c>
      <c r="D5" s="10">
        <f>Assumptions!B6</f>
        <v>0.05486945057812398</v>
      </c>
      <c r="E5" s="10">
        <f>Assumptions!B6</f>
        <v>0.05486945057812398</v>
      </c>
      <c r="F5" s="10">
        <f>Assumptions!B6</f>
        <v>0.05486945057812398</v>
      </c>
    </row>
    <row r="6" spans="1:6" x14ac:dyDescent="0.25">
      <c r="A6" t="s">
        <v>43</v>
      </c>
      <c r="B6" s="18">
        <f>Assumptions!B29*(1+B5)</f>
        <v>23530972834.04621</v>
      </c>
      <c r="C6" s="18">
        <f>B6*(1+C5)</f>
        <v>24822104385.01909</v>
      </c>
      <c r="D6" s="18">
        <f>C6*(1+D5)</f>
        <v>26184079614.81793</v>
      </c>
      <c r="E6" s="18">
        <f>D6*(1+E5)</f>
        <v>27620785677.176846</v>
      </c>
      <c r="F6" s="18">
        <f>E6*(1+F5)</f>
        <v>29136323011.819656</v>
      </c>
    </row>
    <row r="7" spans="1:6" x14ac:dyDescent="0.25">
      <c r="A7" t="s">
        <v>5</v>
      </c>
      <c r="B7" s="10">
        <f>Assumptions!B7</f>
        <v>0.4706979694390244</v>
      </c>
      <c r="C7" s="10">
        <f>Assumptions!B7</f>
        <v>0.4706979694390244</v>
      </c>
      <c r="D7" s="10">
        <f>Assumptions!B7</f>
        <v>0.4706979694390244</v>
      </c>
      <c r="E7" s="10">
        <f>Assumptions!B7</f>
        <v>0.4706979694390244</v>
      </c>
      <c r="F7" s="10">
        <f>Assumptions!B7</f>
        <v>0.4706979694390244</v>
      </c>
    </row>
    <row r="8" spans="1:6" x14ac:dyDescent="0.25">
      <c r="A8" t="s">
        <v>44</v>
      </c>
      <c r="B8" s="18">
        <f>B6*B7</f>
        <v>11075981131.910397</v>
      </c>
      <c r="C8" s="18">
        <f>C6*C7</f>
        <v>11683714131.231989</v>
      </c>
      <c r="D8" s="18">
        <f>D6*D7</f>
        <v>12324793106.32455</v>
      </c>
      <c r="E8" s="18">
        <f>E6*E7</f>
        <v>13001047732.55763</v>
      </c>
      <c r="F8" s="18">
        <f>F6*F7</f>
        <v>13714408078.583033</v>
      </c>
    </row>
    <row r="9" spans="1:6" x14ac:dyDescent="0.25">
      <c r="A9" t="s">
        <v>45</v>
      </c>
      <c r="B9" s="18">
        <f>B8*(1-Assumptions!B8)</f>
        <v>7787428862.171239</v>
      </c>
      <c r="C9" s="18">
        <f>C8*(1-Assumptions!B8)</f>
        <v>8214720805.254801</v>
      </c>
      <c r="D9" s="18">
        <f>D8*(1-Assumptions!B8)</f>
        <v>8665458022.491816</v>
      </c>
      <c r="E9" s="18">
        <f>E8*(1-Assumptions!B8)</f>
        <v>9140926943.193739</v>
      </c>
      <c r="F9" s="18">
        <f>F8*(1-Assumptions!B8)</f>
        <v>9642484582.34155</v>
      </c>
    </row>
    <row r="10" spans="1:6" x14ac:dyDescent="0.25">
      <c r="A10" t="s">
        <v>46</v>
      </c>
      <c r="B10" s="18">
        <f>B6*Assumptions!B9</f>
        <v>1134203013.3084137</v>
      </c>
      <c r="C10" s="18">
        <f>C6*Assumptions!B9</f>
        <v>1196436109.4926991</v>
      </c>
      <c r="D10" s="18">
        <f>D6*Assumptions!B9</f>
        <v>1262083901.4723918</v>
      </c>
      <c r="E10" s="18">
        <f>E6*Assumptions!B9</f>
        <v>1331333751.7296772</v>
      </c>
      <c r="F10" s="18">
        <f>F6*Assumptions!B9</f>
        <v>1404383303.2231972</v>
      </c>
    </row>
    <row r="11" spans="1:6" x14ac:dyDescent="0.25">
      <c r="A11" t="s">
        <v>47</v>
      </c>
      <c r="B11" s="18">
        <f>-B6*Assumptions!B10</f>
        <v>-1134203013.3084137</v>
      </c>
      <c r="C11" s="18">
        <f>-C6*Assumptions!B10</f>
        <v>-1196436109.4926991</v>
      </c>
      <c r="D11" s="18">
        <f>-D6*Assumptions!B10</f>
        <v>-1262083901.4723918</v>
      </c>
      <c r="E11" s="18">
        <f>-E6*Assumptions!B10</f>
        <v>-1331333751.7296772</v>
      </c>
      <c r="F11" s="18">
        <f>-F6*Assumptions!B10</f>
        <v>-1404383303.2231972</v>
      </c>
    </row>
    <row r="12" spans="1:6" x14ac:dyDescent="0.25">
      <c r="A12" t="s">
        <v>48</v>
      </c>
      <c r="B12" s="18">
        <f>-(B6-Assumptions!B29)*Assumptions!B11</f>
        <v>-1223972834.0462112</v>
      </c>
      <c r="C12" s="18">
        <f>-(C6-B6)*Assumptions!B11</f>
        <v>-1291131550.9728775</v>
      </c>
      <c r="D12" s="18">
        <f>-(D6-C6)*Assumptions!B11</f>
        <v>-1361975229.7988396</v>
      </c>
      <c r="E12" s="18">
        <f>-(E6-D6)*Assumptions!B11</f>
        <v>-1436706062.3589172</v>
      </c>
      <c r="F12" s="18">
        <f>-(F6-E6)*Assumptions!B11</f>
        <v>-1515537334.6428108</v>
      </c>
    </row>
    <row r="13" spans="1:6" x14ac:dyDescent="0.25">
      <c r="A13" s="19" t="s">
        <v>49</v>
      </c>
      <c r="B13" s="20">
        <f>B9+B10+B11+B12</f>
        <v>6563456028.125028</v>
      </c>
      <c r="C13" s="20">
        <f>C9+C10+C11+C12</f>
        <v>6923589254.281923</v>
      </c>
      <c r="D13" s="20">
        <f>D9+D10+D11+D12</f>
        <v>7303482792.692976</v>
      </c>
      <c r="E13" s="20">
        <f>E9+E10+E11+E12</f>
        <v>7704220880.834822</v>
      </c>
      <c r="F13" s="20">
        <f>F9+F10+F11+F12</f>
        <v>8126947247.69874</v>
      </c>
    </row>
    <row r="14" spans="1:6" x14ac:dyDescent="0.25">
      <c r="A14" t="s">
        <v>50</v>
      </c>
      <c r="B14" s="21">
        <f>1/(1+Assumptions!$B$26)^(1-0.5*Assumptions!$B$32)</f>
        <v>0.9751280919862807</v>
      </c>
      <c r="C14" s="21">
        <f>1/(1+Assumptions!$B$26)^(2-0.5*Assumptions!$B$32)</f>
        <v>0.9272247253275802</v>
      </c>
      <c r="D14" s="21">
        <f>1/(1+Assumptions!$B$26)^(3-0.5*Assumptions!$B$32)</f>
        <v>0.8816746213387752</v>
      </c>
      <c r="E14" s="21">
        <f>1/(1+Assumptions!$B$26)^(4-0.5*Assumptions!$B$32)</f>
        <v>0.8383621755106259</v>
      </c>
      <c r="F14" s="21">
        <f>1/(1+Assumptions!$B$26)^(5-0.5*Assumptions!$B$32)</f>
        <v>0.7971774624290173</v>
      </c>
    </row>
    <row r="15" spans="1:6" x14ac:dyDescent="0.25">
      <c r="A15" s="19" t="s">
        <v>51</v>
      </c>
      <c r="B15" s="20">
        <f>B13*B14</f>
        <v>6400210353.54141</v>
      </c>
      <c r="C15" s="20">
        <f>C13*C14</f>
        <v>6419723144.582541</v>
      </c>
      <c r="D15" s="20">
        <f>D13*D14</f>
        <v>6439295425.701839</v>
      </c>
      <c r="E15" s="20">
        <f>E13*E14</f>
        <v>6458927378.271071</v>
      </c>
      <c r="F15" s="20">
        <f>F13*F14</f>
        <v>6478619184.214968</v>
      </c>
    </row>
    <row r="17" spans="1:2" x14ac:dyDescent="0.25">
      <c r="A17" s="22" t="s">
        <v>52</v>
      </c>
      <c r="B17" s="23">
        <f>SUM(B15:F15)</f>
        <v>32196775486.31183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8126947247.69874</v>
      </c>
    </row>
    <row r="5" spans="1:2" x14ac:dyDescent="0.25">
      <c r="A5" t="s">
        <v>56</v>
      </c>
      <c r="B5" s="18">
        <f>IF(Assumptions!$B$33=0,B4,B4-Forecast!F11-Forecast!F10-Forecast!F12)</f>
        <v>9642484582.34155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0.483903736836402</v>
      </c>
    </row>
    <row r="7" spans="1:2" x14ac:dyDescent="0.25">
      <c r="A7" t="s">
        <v>58</v>
      </c>
      <c r="B7" s="18">
        <f>-MAX(Forecast!F9,0)*B6</f>
        <v>-4666034321.782469</v>
      </c>
    </row>
    <row r="8" spans="1:2" x14ac:dyDescent="0.25">
      <c r="A8" t="s">
        <v>59</v>
      </c>
      <c r="B8" s="18">
        <f>IF(OR(Assumptions!$B$33=0,Assumptions!B12&lt;=0),B5,MAX(B5+B7,0))</f>
        <v>4976450260.559082</v>
      </c>
    </row>
    <row r="9" spans="1:2" x14ac:dyDescent="0.25">
      <c r="A9" t="s">
        <v>60</v>
      </c>
      <c r="B9" s="18">
        <f>B8*(1+Assumptions!B12)/(Assumptions!B26-Assumptions!B12)</f>
        <v>191307407193.08124</v>
      </c>
    </row>
    <row r="10" spans="1:2" x14ac:dyDescent="0.25">
      <c r="A10" t="s">
        <v>61</v>
      </c>
      <c r="B10" s="18">
        <f>B9/(1+Assumptions!B26)^(5-0.5*Assumptions!B32)</f>
        <v>152505953410.05524</v>
      </c>
    </row>
    <row r="11" spans="1:2" x14ac:dyDescent="0.25">
      <c r="A11" t="s">
        <v>62</v>
      </c>
      <c r="B11" s="18">
        <f>Forecast!B17+B10</f>
        <v>184702728896.36707</v>
      </c>
    </row>
    <row r="12" spans="1:2" x14ac:dyDescent="0.25">
      <c r="A12" t="s">
        <v>63</v>
      </c>
      <c r="B12" s="18">
        <f>-Assumptions!B30</f>
        <v>-97106000000</v>
      </c>
    </row>
    <row r="13" spans="1:2" x14ac:dyDescent="0.25">
      <c r="A13" t="s">
        <v>64</v>
      </c>
      <c r="B13" s="18">
        <f>B11+B12</f>
        <v>87596728896.36707</v>
      </c>
    </row>
    <row r="14" spans="1:2" x14ac:dyDescent="0.25">
      <c r="A14" s="19" t="s">
        <v>65</v>
      </c>
      <c r="B14" s="24">
        <f>B13/Assumptions!B31</f>
        <v>27.547007420474564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15118791381.80623</v>
      </c>
    </row>
    <row r="18" spans="1:2" x14ac:dyDescent="0.25">
      <c r="A18" t="s">
        <v>60</v>
      </c>
      <c r="B18" s="18">
        <f>B17*Assumptions!B13</f>
        <v>120950331054.44984</v>
      </c>
    </row>
    <row r="19" spans="1:2" x14ac:dyDescent="0.25">
      <c r="A19" t="s">
        <v>61</v>
      </c>
      <c r="B19" s="18">
        <f>B18/(1+Assumptions!B26)^(5-0.5*Assumptions!B32)</f>
        <v>96418877989.9359</v>
      </c>
    </row>
    <row r="20" spans="1:2" x14ac:dyDescent="0.25">
      <c r="A20" t="s">
        <v>62</v>
      </c>
      <c r="B20" s="18">
        <f>Forecast!B17+B19</f>
        <v>128615653476.24773</v>
      </c>
    </row>
    <row r="21" spans="1:2" x14ac:dyDescent="0.25">
      <c r="A21" t="s">
        <v>63</v>
      </c>
      <c r="B21" s="18">
        <f>-Assumptions!B30</f>
        <v>-97106000000</v>
      </c>
    </row>
    <row r="22" spans="1:2" x14ac:dyDescent="0.25">
      <c r="A22" t="s">
        <v>64</v>
      </c>
      <c r="B22" s="18">
        <f>B20+B21</f>
        <v>31509653476.247726</v>
      </c>
    </row>
    <row r="23" spans="1:2" x14ac:dyDescent="0.25">
      <c r="A23" s="19" t="s">
        <v>65</v>
      </c>
      <c r="B23" s="25">
        <f>B22/Assumptions!B31</f>
        <v>9.909007665727767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37.68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27.547007420474564</v>
      </c>
    </row>
    <row r="29" spans="1:2" x14ac:dyDescent="0.25">
      <c r="A29" s="19" t="s">
        <v>73</v>
      </c>
      <c r="B29" s="12">
        <f>B28/B26-1</f>
        <v>-0.26892230837381725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0.031663</v>
      </c>
      <c r="B5" s="31">
        <v>64.57365062654773</v>
      </c>
      <c r="C5" s="31">
        <v>64.98982284532384</v>
      </c>
      <c r="D5" s="31">
        <v>65.40599506409997</v>
      </c>
      <c r="E5" s="31">
        <v>143.3207418325714</v>
      </c>
      <c r="F5" s="31" t="s">
        <v>76</v>
      </c>
    </row>
    <row r="6" spans="1:6" x14ac:dyDescent="0.25">
      <c r="A6" s="30">
        <v>0.041663</v>
      </c>
      <c r="B6" s="31">
        <v>41.31177651391491</v>
      </c>
      <c r="C6" s="31">
        <v>41.61462289195015</v>
      </c>
      <c r="D6" s="31">
        <v>41.917469269985354</v>
      </c>
      <c r="E6" s="31">
        <v>42.220315648020595</v>
      </c>
      <c r="F6" s="31">
        <v>42.52316202605582</v>
      </c>
    </row>
    <row r="7" spans="1:6" x14ac:dyDescent="0.25">
      <c r="A7" s="30">
        <v>0.051663</v>
      </c>
      <c r="B7" s="31">
        <v>27.07930377771829</v>
      </c>
      <c r="C7" s="31">
        <v>27.31325277991767</v>
      </c>
      <c r="D7" s="32">
        <v>27.547201782117032</v>
      </c>
      <c r="E7" s="31">
        <v>27.781150784316413</v>
      </c>
      <c r="F7" s="31">
        <v>28.015099786515766</v>
      </c>
    </row>
    <row r="8" spans="1:6" x14ac:dyDescent="0.25">
      <c r="A8" s="30">
        <v>0.061663</v>
      </c>
      <c r="B8" s="31">
        <v>17.482107242274527</v>
      </c>
      <c r="C8" s="31">
        <v>17.669944083214418</v>
      </c>
      <c r="D8" s="31">
        <v>17.8577809241543</v>
      </c>
      <c r="E8" s="31">
        <v>18.045617765094182</v>
      </c>
      <c r="F8" s="31">
        <v>18.233454606034055</v>
      </c>
    </row>
    <row r="9" spans="1:6" x14ac:dyDescent="0.25">
      <c r="A9" s="30">
        <v>0.071663</v>
      </c>
      <c r="B9" s="31">
        <v>10.578790069398382</v>
      </c>
      <c r="C9" s="31">
        <v>10.733738950701465</v>
      </c>
      <c r="D9" s="31">
        <v>10.888687832004527</v>
      </c>
      <c r="E9" s="31">
        <v>11.043636713307599</v>
      </c>
      <c r="F9" s="31">
        <v>11.198585594610662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22307000000</v>
      </c>
      <c r="C5" s="18">
        <v>20355000000</v>
      </c>
      <c r="D5" s="18">
        <v>20189000000</v>
      </c>
      <c r="E5" s="18">
        <v>19004000000</v>
      </c>
      <c r="F5" s="8" t="s">
        <v>85</v>
      </c>
    </row>
    <row r="6" spans="1:6" x14ac:dyDescent="0.25">
      <c r="A6" t="s">
        <v>44</v>
      </c>
      <c r="B6" s="18">
        <v>8722000000</v>
      </c>
      <c r="C6" s="18">
        <v>9400000000</v>
      </c>
      <c r="D6" s="18">
        <v>10087000000</v>
      </c>
      <c r="E6" s="18">
        <v>10079000000</v>
      </c>
      <c r="F6" s="8" t="s">
        <v>86</v>
      </c>
    </row>
    <row r="7" spans="1:6" x14ac:dyDescent="0.25">
      <c r="A7" t="s">
        <v>87</v>
      </c>
      <c r="B7" s="18">
        <v>1083000000</v>
      </c>
      <c r="C7" s="18">
        <v>926000000</v>
      </c>
      <c r="D7" s="18">
        <v>923000000</v>
      </c>
      <c r="E7" s="18">
        <v>1008000000</v>
      </c>
      <c r="F7" s="8" t="s">
        <v>88</v>
      </c>
    </row>
    <row r="8" spans="1:6" x14ac:dyDescent="0.25">
      <c r="A8" t="s">
        <v>89</v>
      </c>
      <c r="B8" s="18">
        <v>0</v>
      </c>
      <c r="C8" s="18">
        <v>0</v>
      </c>
      <c r="D8" s="18">
        <v>0</v>
      </c>
      <c r="E8" s="18">
        <v>0</v>
      </c>
      <c r="F8" s="8" t="s">
        <v>86</v>
      </c>
    </row>
    <row r="9" spans="1:6" x14ac:dyDescent="0.25">
      <c r="A9" t="s">
        <v>90</v>
      </c>
      <c r="B9" s="18">
        <v>-14305000000</v>
      </c>
      <c r="C9" s="18">
        <v>1236000000</v>
      </c>
      <c r="D9" s="18">
        <v>5259000000</v>
      </c>
      <c r="E9" s="18">
        <v>-17022000000</v>
      </c>
      <c r="F9" s="8" t="s">
        <v>91</v>
      </c>
    </row>
    <row r="10" spans="1:6" x14ac:dyDescent="0.25">
      <c r="A10" t="s">
        <v>92</v>
      </c>
      <c r="B10" s="18">
        <v>219824000000</v>
      </c>
      <c r="C10" s="18">
        <v>205087000000</v>
      </c>
      <c r="D10" s="18">
        <v>150076000000</v>
      </c>
      <c r="E10" s="18">
        <v>133996000000</v>
      </c>
      <c r="F10" s="8" t="s">
        <v>93</v>
      </c>
    </row>
    <row r="11" spans="1:6" x14ac:dyDescent="0.25">
      <c r="A11" t="s">
        <v>94</v>
      </c>
      <c r="B11" s="18">
        <v>122718000000</v>
      </c>
      <c r="C11" s="18">
        <v>112991000000</v>
      </c>
      <c r="D11" s="18">
        <v>146438000000</v>
      </c>
      <c r="E11" s="18">
        <v>157530000000</v>
      </c>
      <c r="F11" s="8" t="s">
        <v>95</v>
      </c>
    </row>
    <row r="12" spans="1:6" x14ac:dyDescent="0.25">
      <c r="A12" t="s">
        <v>32</v>
      </c>
      <c r="B12" s="34">
        <v>3179900000</v>
      </c>
      <c r="C12" s="34">
        <v>3234000000</v>
      </c>
      <c r="D12" s="34">
        <v>3270500000</v>
      </c>
      <c r="E12" s="34">
        <v>3138100000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2026-09-19T00:07:15Z</dcterms:modified>
</cp:coreProperties>
</file>