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<sst xmlns="http://schemas.openxmlformats.org/spreadsheetml/2006/main" count="70" uniqueCount="67">
  <si>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Aon plc (AON)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</si>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</sst>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0.74071</v>
      </c>
    </row>
    <row r="9" spans="1:2" x14ac:dyDescent="0.25">
      <c r="A9" t="s">
        <v>8</v>
      </c>
      <c r="B9" s="8">
        <f>B6+B8*B7</f>
        <v>0.08027203299999999</v>
      </c>
    </row>
    <row r="10" spans="1:2" x14ac:dyDescent="0.25">
      <c r="A10" t="s">
        <v>9</v>
      </c>
      <c r="B10" s="8">
        <f>MEDIAN('Source data'!B9:E9)</f>
        <v>0.6036595327560856</v>
      </c>
    </row>
    <row r="11" spans="1:2" x14ac:dyDescent="0.25">
      <c r="A11" t="s">
        <v>10</v>
      </c>
      <c r="B11" s="8">
        <f>IFERROR(MIN(MAX(MEDIAN('Source data'!B10:E10),0),1),0)</f>
        <v>0.1702300405953992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9352000000</v>
      </c>
    </row>
    <row r="15" spans="1:2" x14ac:dyDescent="0.25">
      <c r="A15" t="s">
        <v>14</v>
      </c>
      <c r="B15" s="10">
        <f>'Source data'!B8</f>
        <v>217100000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0.2</v>
      </c>
    </row>
    <row r="18" spans="1:2" x14ac:dyDescent="0.25">
      <c r="A18" t="s">
        <v>17</v>
      </c>
      <c r="B18" s="8">
        <f>MIN(B10,B12)</f>
        <v>0.2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0.5632935794804771</v>
      </c>
      <c r="C22" s="8">
        <f>$B$10+($B$18-$B$10)*C21/$B$16</f>
        <v>0.5229276262048685</v>
      </c>
      <c r="D22" s="8">
        <f>$B$10+($B$18-$B$10)*D21/$B$16</f>
        <v>0.48256167292925994</v>
      </c>
      <c r="E22" s="8">
        <f>$B$10+($B$18-$B$10)*E21/$B$16</f>
        <v>0.44219571965365134</v>
      </c>
      <c r="F22" s="8">
        <f>$B$10+($B$18-$B$10)*F21/$B$16</f>
        <v>0.4018297663780428</v>
      </c>
      <c r="G22" s="8">
        <f>$B$10+($B$18-$B$10)*G21/$B$16</f>
        <v>0.36146381310243425</v>
      </c>
      <c r="H22" s="8">
        <f>$B$10+($B$18-$B$10)*H21/$B$16</f>
        <v>0.3210978598268257</v>
      </c>
      <c r="I22" s="8">
        <f>$B$10+($B$18-$B$10)*I21/$B$16</f>
        <v>0.2807319065512171</v>
      </c>
      <c r="J22" s="8">
        <f>$B$10+($B$18-$B$10)*J21/$B$16</f>
        <v>0.24036595327560856</v>
      </c>
      <c r="K22" s="8">
        <f>$B$10+($B$18-$B$10)*K21/$B$16</f>
        <v>0.2</v>
      </c>
    </row>
    <row r="23" spans="1:11" x14ac:dyDescent="0.25">
      <c r="A23" t="s">
        <v>31</v>
      </c>
      <c r="B23" s="8">
        <f>$B$17+($B$13-$B$17)*B21/$B$16</f>
        <v>0.1825</v>
      </c>
      <c r="C23" s="8">
        <f>$B$17+($B$13-$B$17)*C21/$B$16</f>
        <v>0.165</v>
      </c>
      <c r="D23" s="8">
        <f>$B$17+($B$13-$B$17)*D21/$B$16</f>
        <v>0.14750000000000002</v>
      </c>
      <c r="E23" s="8">
        <f>$B$17+($B$13-$B$17)*E21/$B$16</f>
        <v>0.13</v>
      </c>
      <c r="F23" s="8">
        <f>$B$17+($B$13-$B$17)*F21/$B$16</f>
        <v>0.1125</v>
      </c>
      <c r="G23" s="8">
        <f>$B$17+($B$13-$B$17)*G21/$B$16</f>
        <v>0.095</v>
      </c>
      <c r="H23" s="8">
        <f>$B$17+($B$13-$B$17)*H21/$B$16</f>
        <v>0.07750000000000001</v>
      </c>
      <c r="I23" s="8">
        <f>$B$17+($B$13-$B$17)*I21/$B$16</f>
        <v>0.06</v>
      </c>
      <c r="J23" s="8">
        <f>$B$17+($B$13-$B$17)*J21/$B$16</f>
        <v>0.04249999999999998</v>
      </c>
      <c r="K23" s="8">
        <f>$B$17+($B$13-$B$17)*K21/$B$16</f>
        <v>0.024999999999999994</v>
      </c>
    </row>
    <row r="24" spans="1:11" x14ac:dyDescent="0.25">
      <c r="A24" t="s">
        <v>32</v>
      </c>
      <c r="B24" s="9">
        <f>$B$14</f>
        <v>9352000000</v>
      </c>
      <c r="C24" s="9">
        <f>B24*(1+B23)</f>
        <v>11058739999.999998</v>
      </c>
      <c r="D24" s="9">
        <f>C24*(1+C23)</f>
        <v>12883432099.999998</v>
      </c>
      <c r="E24" s="9">
        <f>D24*(1+D23)</f>
        <v>14783738334.749998</v>
      </c>
      <c r="F24" s="9">
        <f>E24*(1+E23)</f>
        <v>16705624318.267496</v>
      </c>
      <c r="G24" s="9">
        <f>F24*(1+F23)</f>
        <v>18585007054.07259</v>
      </c>
      <c r="H24" s="9">
        <f>G24*(1+G23)</f>
        <v>20350582724.209484</v>
      </c>
      <c r="I24" s="9">
        <f>H24*(1+H23)</f>
        <v>21927752885.335716</v>
      </c>
      <c r="J24" s="9">
        <f>I24*(1+I23)</f>
        <v>23243418058.45586</v>
      </c>
      <c r="K24" s="9">
        <f>J24*(1+J23)</f>
        <v>24231263325.940235</v>
      </c>
    </row>
    <row r="25" spans="1:11" x14ac:dyDescent="0.25">
      <c r="A25" t="s">
        <v>33</v>
      </c>
      <c r="B25" s="9">
        <f>(B22-$B$9)*B24</f>
        <v>4517217502.685422</v>
      </c>
      <c r="C25" s="9">
        <f>(C22-$B$9)*C24</f>
        <v>4895213114.798408</v>
      </c>
      <c r="D25" s="9">
        <f>(D22-$B$9)*D24</f>
        <v>5182871260.562068</v>
      </c>
      <c r="E25" s="9">
        <f>(E22-$B$9)*E24</f>
        <v>5350585080.6356325</v>
      </c>
      <c r="F25" s="9">
        <f>(F22-$B$9)*F24</f>
        <v>5371822690.447208</v>
      </c>
      <c r="G25" s="9">
        <f>(G22-$B$9)*G24</f>
        <v>5225951216.75097</v>
      </c>
      <c r="H25" s="9">
        <f>(H22-$B$9)*H24</f>
        <v>4900945910.965465</v>
      </c>
      <c r="I25" s="9">
        <f>(I22-$B$9)*I24</f>
        <v>4395634570.6567335</v>
      </c>
      <c r="J25" s="9">
        <f>(J22-$B$9)*J24</f>
        <v>3721129917.5830727</v>
      </c>
      <c r="K25" s="9">
        <f>(K22-$B$9)*K24</f>
        <v>2901159895.856483</v>
      </c>
    </row>
    <row r="26" spans="1:11" x14ac:dyDescent="0.25">
      <c r="A26" t="s">
        <v>34</v>
      </c>
      <c r="B26" s="14">
        <f>1/(1+$B$9)^B21</f>
        <v>0.9256927602049659</v>
      </c>
      <c r="C26" s="14">
        <f>1/(1+$B$9)^C21</f>
        <v>0.8569070862958885</v>
      </c>
      <c r="D26" s="14">
        <f>1/(1+$B$9)^D21</f>
        <v>0.7932326859524359</v>
      </c>
      <c r="E26" s="14">
        <f>1/(1+$B$9)^E21</f>
        <v>0.7342897545441094</v>
      </c>
      <c r="F26" s="14">
        <f>1/(1+$B$9)^F21</f>
        <v>0.6797267096741635</v>
      </c>
      <c r="G26" s="14">
        <f>1/(1+$B$9)^G21</f>
        <v>0.629218094063316</v>
      </c>
      <c r="H26" s="14">
        <f>1/(1+$B$9)^H21</f>
        <v>0.5824626342643788</v>
      </c>
      <c r="I26" s="14">
        <f>1/(1+$B$9)^I21</f>
        <v>0.5391814436284484</v>
      </c>
      <c r="J26" s="14">
        <f>1/(1+$B$9)^J21</f>
        <v>0.4991163588037166</v>
      </c>
      <c r="K26" s="14">
        <f>1/(1+$B$9)^K21</f>
        <v>0.46202839984446464</v>
      </c>
    </row>
    <row r="27" spans="1:11" x14ac:dyDescent="0.25">
      <c r="A27" s="15" t="s">
        <v>35</v>
      </c>
      <c r="B27" s="16">
        <f>B25*B26</f>
        <v>4181555538.5070515</v>
      </c>
      <c r="C27" s="16">
        <f>C25*C26</f>
        <v>4194742806.9993243</v>
      </c>
      <c r="D27" s="16">
        <f>D25*D26</f>
        <v>4111222890.9613366</v>
      </c>
      <c r="E27" s="16">
        <f>E25*E26</f>
        <v>3928879805.5273123</v>
      </c>
      <c r="F27" s="16">
        <f>F25*F26</f>
        <v>3651371362.3306932</v>
      </c>
      <c r="G27" s="16">
        <f>G25*G26</f>
        <v>3288263064.2719126</v>
      </c>
      <c r="H27" s="16">
        <f>H25*H26</f>
        <v>2854617865.68818</v>
      </c>
      <c r="I27" s="16">
        <f>I25*I26</f>
        <v>2370044593.4698124</v>
      </c>
      <c r="J27" s="16">
        <f>J25*J26</f>
        <v>1857276815.099637</v>
      </c>
      <c r="K27" s="16">
        <f>K25*K26</f>
        <v>1340418264.3755045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9352000000</v>
      </c>
    </row>
    <row r="31" spans="1:2" x14ac:dyDescent="0.25">
      <c r="A31" t="s">
        <v>38</v>
      </c>
      <c r="B31" s="9">
        <f>SUM(B27:K27)</f>
        <v>31778393007.230762</v>
      </c>
    </row>
    <row r="32" spans="1:2" x14ac:dyDescent="0.25">
      <c r="A32" t="s">
        <v>39</v>
      </c>
      <c r="B32" s="9">
        <f>K24*(1+K23)</f>
        <v>24837044909.088737</v>
      </c>
    </row>
    <row r="33" spans="1:2" x14ac:dyDescent="0.25">
      <c r="A33" t="s">
        <v>40</v>
      </c>
      <c r="B33" s="9">
        <f>(B18-B9)*B32</f>
        <v>2973688893.252895</v>
      </c>
    </row>
    <row r="34" spans="1:2" x14ac:dyDescent="0.25">
      <c r="A34" t="s">
        <v>41</v>
      </c>
      <c r="B34" s="9">
        <f>B33/(B9-B13)</f>
        <v>53800968262.79025</v>
      </c>
    </row>
    <row r="35" spans="1:2" x14ac:dyDescent="0.25">
      <c r="A35" t="s">
        <v>42</v>
      </c>
      <c r="B35" s="9">
        <f>B34*K26</f>
        <v>24857575276.539806</v>
      </c>
    </row>
    <row r="36" spans="1:2" x14ac:dyDescent="0.25">
      <c r="A36" s="15" t="s">
        <v>43</v>
      </c>
      <c r="B36" s="16">
        <f>B30+B31+B35</f>
        <v>65987968283.77057</v>
      </c>
    </row>
    <row r="37" spans="1:2" x14ac:dyDescent="0.25">
      <c r="A37" s="15" t="s">
        <v>44</v>
      </c>
      <c r="B37" s="17">
        <f>B36/B15</f>
        <v>303.95194971796667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333.38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303.95194971796667</v>
      </c>
    </row>
    <row r="43" spans="1:2" x14ac:dyDescent="0.25">
      <c r="A43" s="15" t="s">
        <v>48</v>
      </c>
      <c r="B43" s="21">
        <f>B42/B40-1</f>
        <v>-0.08827179279510866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3695000000</v>
      </c>
      <c r="C5" s="9">
        <v>2654000000</v>
      </c>
      <c r="D5" s="9">
        <v>2564000000</v>
      </c>
      <c r="E5" s="9">
        <v>2589000000</v>
      </c>
      <c r="F5" s="6" t="s">
        <v>57</v>
      </c>
    </row>
    <row r="6" spans="1:6" x14ac:dyDescent="0.25">
      <c r="A6" t="s">
        <v>37</v>
      </c>
      <c r="B6" s="9">
        <v>9352000000</v>
      </c>
      <c r="C6" s="9">
        <v>6121000000</v>
      </c>
      <c r="D6" s="9">
        <v>-826000000</v>
      </c>
      <c r="E6" s="9">
        <v>-529000000</v>
      </c>
      <c r="F6" s="6" t="s">
        <v>58</v>
      </c>
    </row>
    <row r="7" spans="1:6" x14ac:dyDescent="0.25">
      <c r="A7" t="s">
        <v>59</v>
      </c>
      <c r="B7" s="9">
        <v>629000000</v>
      </c>
      <c r="C7" s="9">
        <v>562000000</v>
      </c>
      <c r="D7" s="9">
        <v>489000000</v>
      </c>
      <c r="E7" s="9">
        <v>463000000</v>
      </c>
      <c r="F7" s="6" t="s">
        <v>60</v>
      </c>
    </row>
    <row r="8" spans="1:6" x14ac:dyDescent="0.25">
      <c r="A8" t="s">
        <v>14</v>
      </c>
      <c r="B8" s="10">
        <v>217100000</v>
      </c>
      <c r="C8" s="10">
        <v>212500000</v>
      </c>
      <c r="D8" s="10">
        <v>205000000</v>
      </c>
      <c r="E8" s="10">
        <v>213200000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0.6036595327560856</v>
      </c>
      <c r="C9" s="8" t="str">
        <f>IF(AND(ISNUMBER(C5),N(D6)&gt;0),C5/D6,"")</f>
        <v/>
      </c>
      <c r="D9" s="8" t="str">
        <f>IF(AND(ISNUMBER(D5),N(E6)&gt;0),D5/E6,"")</f>
        <v/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0.1702300405953992</v>
      </c>
      <c r="C10" s="8" t="str">
        <f>IF(AND(ISNUMBER(C9),N(C5)&gt;0,ISNUMBER(C7)),C7/C5,"")</f>
        <v/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