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<sst xmlns="http://schemas.openxmlformats.org/spreadsheetml/2006/main" count="112" uniqueCount="100">
  <si>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Aon plc (AON)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</si>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</sst>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0.11247318365137482</v>
      </c>
    </row>
    <row r="7" spans="1:2" x14ac:dyDescent="0.25">
      <c r="A7" t="s">
        <v>5</v>
      </c>
      <c r="B7" s="6">
        <v>0.282559210629026</v>
      </c>
    </row>
    <row r="8" spans="1:2" x14ac:dyDescent="0.25">
      <c r="A8" t="s">
        <v>6</v>
      </c>
      <c r="B8" s="6">
        <v>0.19136782304356176</v>
      </c>
    </row>
    <row r="9" spans="1:2" x14ac:dyDescent="0.25">
      <c r="A9" t="s">
        <v>7</v>
      </c>
      <c r="B9" s="6">
        <v>0.03505475781561505</v>
      </c>
    </row>
    <row r="10" spans="1:2" x14ac:dyDescent="0.25">
      <c r="A10" t="s">
        <v>8</v>
      </c>
      <c r="B10" s="6">
        <v>0.015935206566796842</v>
      </c>
    </row>
    <row r="11" spans="1:2" x14ac:dyDescent="0.25">
      <c r="A11" t="s">
        <v>9</v>
      </c>
      <c r="B11" s="6">
        <v>0.027131782945736434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13.389562372511014</v>
      </c>
    </row>
    <row r="14" spans="1:3" x14ac:dyDescent="0.25">
      <c r="A14" t="s">
        <v>12</v>
      </c>
      <c r="B14" s="6">
        <v>0.22224478186512403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0.7722</v>
      </c>
      <c r="C19" s="8" t="s">
        <v>19</v>
      </c>
    </row>
    <row r="20" spans="1:2" x14ac:dyDescent="0.25">
      <c r="A20" t="s">
        <v>20</v>
      </c>
      <c r="B20" s="10">
        <f>B17+B19*B18</f>
        <v>0.092451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62712766464</v>
      </c>
    </row>
    <row r="23" spans="1:2" x14ac:dyDescent="0.25">
      <c r="A23" t="s">
        <v>24</v>
      </c>
      <c r="B23" s="11">
        <v>16071000000</v>
      </c>
    </row>
    <row r="24" spans="1:2" x14ac:dyDescent="0.25">
      <c r="A24" t="s">
        <v>25</v>
      </c>
      <c r="B24" s="10">
        <f>B22/(B22+B23)</f>
        <v>0.7960112759099478</v>
      </c>
    </row>
    <row r="25" spans="1:2" x14ac:dyDescent="0.25">
      <c r="A25" t="s">
        <v>26</v>
      </c>
      <c r="B25" s="10">
        <f>1-B24</f>
        <v>0.2039887240900522</v>
      </c>
    </row>
    <row r="26" spans="1:2" x14ac:dyDescent="0.25">
      <c r="A26" t="s">
        <v>27</v>
      </c>
      <c r="B26" s="12">
        <f>B24*B20+B25*B21*(1-B8)</f>
        <v>0.08183633173400515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17181000000</v>
      </c>
      <c r="C29" s="8" t="s">
        <v>30</v>
      </c>
    </row>
    <row r="30" spans="1:2" x14ac:dyDescent="0.25">
      <c r="A30" t="s">
        <v>31</v>
      </c>
      <c r="B30" s="11">
        <v>13273000000</v>
      </c>
    </row>
    <row r="31" spans="1:2" x14ac:dyDescent="0.25">
      <c r="A31" t="s">
        <v>32</v>
      </c>
      <c r="B31" s="13">
        <v>217100000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0.11247318365137482</v>
      </c>
      <c r="C5" s="10">
        <f>Assumptions!B6</f>
        <v>0.11247318365137482</v>
      </c>
      <c r="D5" s="10">
        <f>Assumptions!B6</f>
        <v>0.11247318365137482</v>
      </c>
      <c r="E5" s="10">
        <f>Assumptions!B6</f>
        <v>0.11247318365137482</v>
      </c>
      <c r="F5" s="10">
        <f>Assumptions!B6</f>
        <v>0.11247318365137482</v>
      </c>
    </row>
    <row r="6" spans="1:6" x14ac:dyDescent="0.25">
      <c r="A6" t="s">
        <v>43</v>
      </c>
      <c r="B6" s="18">
        <f>Assumptions!B29*(1+B5)</f>
        <v>19113401768.31427</v>
      </c>
      <c r="C6" s="18">
        <f>B6*(1+C5)</f>
        <v>21263146915.604393</v>
      </c>
      <c r="D6" s="18">
        <f>C6*(1+D5)</f>
        <v>23654680743.64933</v>
      </c>
      <c r="E6" s="18">
        <f>D6*(1+E5)</f>
        <v>26315197995.14444</v>
      </c>
      <c r="F6" s="18">
        <f>E6*(1+F5)</f>
        <v>29274952092.07461</v>
      </c>
    </row>
    <row r="7" spans="1:6" x14ac:dyDescent="0.25">
      <c r="A7" t="s">
        <v>5</v>
      </c>
      <c r="B7" s="10">
        <f>Assumptions!B7</f>
        <v>0.282559210629026</v>
      </c>
      <c r="C7" s="10">
        <f>Assumptions!B7</f>
        <v>0.282559210629026</v>
      </c>
      <c r="D7" s="10">
        <f>Assumptions!B7</f>
        <v>0.282559210629026</v>
      </c>
      <c r="E7" s="10">
        <f>Assumptions!B7</f>
        <v>0.282559210629026</v>
      </c>
      <c r="F7" s="10">
        <f>Assumptions!B7</f>
        <v>0.282559210629026</v>
      </c>
    </row>
    <row r="8" spans="1:6" x14ac:dyDescent="0.25">
      <c r="A8" t="s">
        <v>44</v>
      </c>
      <c r="B8" s="18">
        <f>B6*B7</f>
        <v>5400667716.09031</v>
      </c>
      <c r="C8" s="18">
        <f>C6*C7</f>
        <v>6008098007.962186</v>
      </c>
      <c r="D8" s="18">
        <f>D6*D7</f>
        <v>6683847918.607177</v>
      </c>
      <c r="E8" s="18">
        <f>E6*E7</f>
        <v>7435601573.054541</v>
      </c>
      <c r="F8" s="18">
        <f>F6*F7</f>
        <v>8271907354.339155</v>
      </c>
    </row>
    <row r="9" spans="1:6" x14ac:dyDescent="0.25">
      <c r="A9" t="s">
        <v>45</v>
      </c>
      <c r="B9" s="18">
        <f>B8*(1-Assumptions!B8)</f>
        <v>4367153692.280462</v>
      </c>
      <c r="C9" s="18">
        <f>C8*(1-Assumptions!B8)</f>
        <v>4858341371.546102</v>
      </c>
      <c r="D9" s="18">
        <f>D8*(1-Assumptions!B8)</f>
        <v>5404774492.86908</v>
      </c>
      <c r="E9" s="18">
        <f>E8*(1-Assumptions!B8)</f>
        <v>6012666686.999809</v>
      </c>
      <c r="F9" s="18">
        <f>F8*(1-Assumptions!B8)</f>
        <v>6688930451.521242</v>
      </c>
    </row>
    <row r="10" spans="1:6" x14ac:dyDescent="0.25">
      <c r="A10" t="s">
        <v>46</v>
      </c>
      <c r="B10" s="18">
        <f>B6*Assumptions!B9</f>
        <v>670015670.0208051</v>
      </c>
      <c r="C10" s="18">
        <f>C6*Assumptions!B9</f>
        <v>745374465.5243541</v>
      </c>
      <c r="D10" s="18">
        <f>D6*Assumptions!B9</f>
        <v>829209104.6743201</v>
      </c>
      <c r="E10" s="18">
        <f>E6*Assumptions!B9</f>
        <v>922472892.589747</v>
      </c>
      <c r="F10" s="18">
        <f>F6*Assumptions!B9</f>
        <v>1026226355.6514086</v>
      </c>
    </row>
    <row r="11" spans="1:6" x14ac:dyDescent="0.25">
      <c r="A11" t="s">
        <v>47</v>
      </c>
      <c r="B11" s="18">
        <f>-B6*Assumptions!B10</f>
        <v>-304576005.37226796</v>
      </c>
      <c r="C11" s="18">
        <f>-C6*Assumptions!B10</f>
        <v>-338832638.36030513</v>
      </c>
      <c r="D11" s="18">
        <f>-D6*Assumptions!B10</f>
        <v>-376942223.9216836</v>
      </c>
      <c r="E11" s="18">
        <f>-E6*Assumptions!B10</f>
        <v>-419338115.89878476</v>
      </c>
      <c r="F11" s="18">
        <f>-F6*Assumptions!B10</f>
        <v>-466502408.8202903</v>
      </c>
    </row>
    <row r="12" spans="1:6" x14ac:dyDescent="0.25">
      <c r="A12" t="s">
        <v>48</v>
      </c>
      <c r="B12" s="18">
        <f>-(B6-Assumptions!B29)*Assumptions!B11</f>
        <v>-52429505.34186004</v>
      </c>
      <c r="C12" s="18">
        <f>-(C6-B6)*Assumptions!B11</f>
        <v>-58326418.724925816</v>
      </c>
      <c r="D12" s="18">
        <f>-(D6-C6)*Assumptions!B11</f>
        <v>-64886576.729901396</v>
      </c>
      <c r="E12" s="18">
        <f>-(E6-D6)*Assumptions!B11</f>
        <v>-72184576.59095259</v>
      </c>
      <c r="F12" s="18">
        <f>-(F6-E6)*Assumptions!B11</f>
        <v>-80303405.73066358</v>
      </c>
    </row>
    <row r="13" spans="1:6" x14ac:dyDescent="0.25">
      <c r="A13" s="19" t="s">
        <v>49</v>
      </c>
      <c r="B13" s="20">
        <f>B9+B10+B11+B12</f>
        <v>4680163851.58714</v>
      </c>
      <c r="C13" s="20">
        <f>C9+C10+C11+C12</f>
        <v>5206556779.985225</v>
      </c>
      <c r="D13" s="20">
        <f>D9+D10+D11+D12</f>
        <v>5792154796.891815</v>
      </c>
      <c r="E13" s="20">
        <f>E9+E10+E11+E12</f>
        <v>6443616887.099818</v>
      </c>
      <c r="F13" s="20">
        <f>F9+F10+F11+F12</f>
        <v>7168350992.621696</v>
      </c>
    </row>
    <row r="14" spans="1:6" x14ac:dyDescent="0.25">
      <c r="A14" t="s">
        <v>50</v>
      </c>
      <c r="B14" s="21">
        <f>1/(1+Assumptions!$B$26)^(1-0.5*Assumptions!$B$32)</f>
        <v>0.9614334297249075</v>
      </c>
      <c r="C14" s="21">
        <f>1/(1+Assumptions!$B$26)^(2-0.5*Assumptions!$B$32)</f>
        <v>0.8887050670445579</v>
      </c>
      <c r="D14" s="21">
        <f>1/(1+Assumptions!$B$26)^(3-0.5*Assumptions!$B$32)</f>
        <v>0.8214782966478028</v>
      </c>
      <c r="E14" s="21">
        <f>1/(1+Assumptions!$B$26)^(4-0.5*Assumptions!$B$32)</f>
        <v>0.7593369464039986</v>
      </c>
      <c r="F14" s="21">
        <f>1/(1+Assumptions!$B$26)^(5-0.5*Assumptions!$B$32)</f>
        <v>0.7018963258397014</v>
      </c>
    </row>
    <row r="15" spans="1:6" x14ac:dyDescent="0.25">
      <c r="A15" s="19" t="s">
        <v>51</v>
      </c>
      <c r="B15" s="20">
        <f>B13*B14</f>
        <v>4499665983.505958</v>
      </c>
      <c r="C15" s="20">
        <f>C13*C14</f>
        <v>4627093392.228066</v>
      </c>
      <c r="D15" s="20">
        <f>D13*D14</f>
        <v>4758129456.471088</v>
      </c>
      <c r="E15" s="20">
        <f>E13*E14</f>
        <v>4892876370.847615</v>
      </c>
      <c r="F15" s="20">
        <f>F13*F14</f>
        <v>5031439224.050546</v>
      </c>
    </row>
    <row r="17" spans="1:2" x14ac:dyDescent="0.25">
      <c r="A17" s="22" t="s">
        <v>52</v>
      </c>
      <c r="B17" s="23">
        <f>SUM(B15:F15)</f>
        <v>23809204427.10327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7168350992.621696</v>
      </c>
    </row>
    <row r="5" spans="1:2" x14ac:dyDescent="0.25">
      <c r="A5" t="s">
        <v>56</v>
      </c>
      <c r="B5" s="18">
        <f>IF(Assumptions!$B$33=0,B4,B4-Forecast!F11-Forecast!F10-Forecast!F12)</f>
        <v>7239520015.455038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0.11248858034008649</v>
      </c>
    </row>
    <row r="7" spans="1:2" x14ac:dyDescent="0.25">
      <c r="A7" t="s">
        <v>58</v>
      </c>
      <c r="B7" s="18">
        <f>-MAX(Forecast!F9,0)*B6</f>
        <v>-814363328.8821783</v>
      </c>
    </row>
    <row r="8" spans="1:2" x14ac:dyDescent="0.25">
      <c r="A8" t="s">
        <v>59</v>
      </c>
      <c r="B8" s="18">
        <f>IF(OR(Assumptions!$B$33=0,Assumptions!B12&lt;=0),B5,MAX(B5+B7,0))</f>
        <v>6425156686.57286</v>
      </c>
    </row>
    <row r="9" spans="1:2" x14ac:dyDescent="0.25">
      <c r="A9" t="s">
        <v>60</v>
      </c>
      <c r="B9" s="18">
        <f>B8*(1+Assumptions!B12)/(Assumptions!B26-Assumptions!B12)</f>
        <v>115872812386.25238</v>
      </c>
    </row>
    <row r="10" spans="1:2" x14ac:dyDescent="0.25">
      <c r="A10" t="s">
        <v>61</v>
      </c>
      <c r="B10" s="18">
        <f>B9/(1+Assumptions!B26)^(5-0.5*Assumptions!B32)</f>
        <v>81330701278.6236</v>
      </c>
    </row>
    <row r="11" spans="1:2" x14ac:dyDescent="0.25">
      <c r="A11" t="s">
        <v>62</v>
      </c>
      <c r="B11" s="18">
        <f>Forecast!B17+B10</f>
        <v>105139905705.72687</v>
      </c>
    </row>
    <row r="12" spans="1:2" x14ac:dyDescent="0.25">
      <c r="A12" t="s">
        <v>63</v>
      </c>
      <c r="B12" s="18">
        <f>-Assumptions!B30</f>
        <v>-13273000000</v>
      </c>
    </row>
    <row r="13" spans="1:2" x14ac:dyDescent="0.25">
      <c r="A13" t="s">
        <v>64</v>
      </c>
      <c r="B13" s="18">
        <f>B11+B12</f>
        <v>91866905705.72687</v>
      </c>
    </row>
    <row r="14" spans="1:2" x14ac:dyDescent="0.25">
      <c r="A14" s="19" t="s">
        <v>65</v>
      </c>
      <c r="B14" s="24">
        <f>B13/Assumptions!B31</f>
        <v>423.1547936698612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9298133709.990564</v>
      </c>
    </row>
    <row r="18" spans="1:2" x14ac:dyDescent="0.25">
      <c r="A18" t="s">
        <v>60</v>
      </c>
      <c r="B18" s="18">
        <f>B17*Assumptions!B13</f>
        <v>124497941257.86589</v>
      </c>
    </row>
    <row r="19" spans="1:2" x14ac:dyDescent="0.25">
      <c r="A19" t="s">
        <v>61</v>
      </c>
      <c r="B19" s="18">
        <f>B18/(1+Assumptions!B26)^(5-0.5*Assumptions!B32)</f>
        <v>87384647543.50304</v>
      </c>
    </row>
    <row r="20" spans="1:2" x14ac:dyDescent="0.25">
      <c r="A20" t="s">
        <v>62</v>
      </c>
      <c r="B20" s="18">
        <f>Forecast!B17+B19</f>
        <v>111193851970.60631</v>
      </c>
    </row>
    <row r="21" spans="1:2" x14ac:dyDescent="0.25">
      <c r="A21" t="s">
        <v>63</v>
      </c>
      <c r="B21" s="18">
        <f>-Assumptions!B30</f>
        <v>-13273000000</v>
      </c>
    </row>
    <row r="22" spans="1:2" x14ac:dyDescent="0.25">
      <c r="A22" t="s">
        <v>64</v>
      </c>
      <c r="B22" s="18">
        <f>B20+B21</f>
        <v>97920851970.60631</v>
      </c>
    </row>
    <row r="23" spans="1:2" x14ac:dyDescent="0.25">
      <c r="A23" s="19" t="s">
        <v>65</v>
      </c>
      <c r="B23" s="25">
        <f>B22/Assumptions!B31</f>
        <v>451.040313084322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295.64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423.1547936698612</v>
      </c>
    </row>
    <row r="29" spans="1:2" x14ac:dyDescent="0.25">
      <c r="A29" s="19" t="s">
        <v>73</v>
      </c>
      <c r="B29" s="12">
        <f>B28/B26-1</f>
        <v>0.4313177975573712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0.061836</v>
      </c>
      <c r="B5" s="31">
        <v>568.3628218738984</v>
      </c>
      <c r="C5" s="31">
        <v>618.719035212681</v>
      </c>
      <c r="D5" s="31">
        <v>682.5901551065666</v>
      </c>
      <c r="E5" s="31">
        <v>766.3439287074134</v>
      </c>
      <c r="F5" s="31">
        <v>881.0937784926551</v>
      </c>
    </row>
    <row r="6" spans="1:6" x14ac:dyDescent="0.25">
      <c r="A6" s="30">
        <v>0.071836</v>
      </c>
      <c r="B6" s="31">
        <v>457.5878888080428</v>
      </c>
      <c r="C6" s="31">
        <v>488.1809130095228</v>
      </c>
      <c r="D6" s="31">
        <v>525.1886557011635</v>
      </c>
      <c r="E6" s="31">
        <v>570.9110685359053</v>
      </c>
      <c r="F6" s="31">
        <v>628.8968552857789</v>
      </c>
    </row>
    <row r="7" spans="1:6" x14ac:dyDescent="0.25">
      <c r="A7" s="30">
        <v>0.081836</v>
      </c>
      <c r="B7" s="31">
        <v>379.99167043705637</v>
      </c>
      <c r="C7" s="31">
        <v>399.87202802683623</v>
      </c>
      <c r="D7" s="32">
        <v>423.15758311691377</v>
      </c>
      <c r="E7" s="31">
        <v>450.83371194203846</v>
      </c>
      <c r="F7" s="31">
        <v>484.30656801714974</v>
      </c>
    </row>
    <row r="8" spans="1:6" x14ac:dyDescent="0.25">
      <c r="A8" s="30">
        <v>0.091836</v>
      </c>
      <c r="B8" s="31">
        <v>322.619008069845</v>
      </c>
      <c r="C8" s="31">
        <v>336.15701743655495</v>
      </c>
      <c r="D8" s="31">
        <v>351.6449923824667</v>
      </c>
      <c r="E8" s="31">
        <v>369.5559499799662</v>
      </c>
      <c r="F8" s="31">
        <v>390.5293571122578</v>
      </c>
    </row>
    <row r="9" spans="1:6" x14ac:dyDescent="0.25">
      <c r="A9" s="30">
        <v>0.101836</v>
      </c>
      <c r="B9" s="31">
        <v>278.4824007264548</v>
      </c>
      <c r="C9" s="31">
        <v>288.0203215098609</v>
      </c>
      <c r="D9" s="31">
        <v>298.7364673107779</v>
      </c>
      <c r="E9" s="31">
        <v>310.8768620623687</v>
      </c>
      <c r="F9" s="31">
        <v>324.76114988247525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17181000000</v>
      </c>
      <c r="C5" s="18">
        <v>15698000000</v>
      </c>
      <c r="D5" s="18">
        <v>13376000000</v>
      </c>
      <c r="E5" s="18">
        <v>12479000000</v>
      </c>
      <c r="F5" s="8" t="s">
        <v>84</v>
      </c>
    </row>
    <row r="6" spans="1:6" x14ac:dyDescent="0.25">
      <c r="A6" t="s">
        <v>44</v>
      </c>
      <c r="B6" s="18">
        <v>4709000000</v>
      </c>
      <c r="C6" s="18">
        <v>4224000000</v>
      </c>
      <c r="D6" s="18">
        <v>3920000000</v>
      </c>
      <c r="E6" s="18">
        <v>3669000000</v>
      </c>
      <c r="F6" s="8" t="s">
        <v>85</v>
      </c>
    </row>
    <row r="7" spans="1:6" x14ac:dyDescent="0.25">
      <c r="A7" t="s">
        <v>86</v>
      </c>
      <c r="B7" s="18">
        <v>966000000</v>
      </c>
      <c r="C7" s="18">
        <v>686000000</v>
      </c>
      <c r="D7" s="18">
        <v>256000000</v>
      </c>
      <c r="E7" s="18">
        <v>264000000</v>
      </c>
      <c r="F7" s="8" t="s">
        <v>87</v>
      </c>
    </row>
    <row r="8" spans="1:6" x14ac:dyDescent="0.25">
      <c r="A8" t="s">
        <v>88</v>
      </c>
      <c r="B8" s="18">
        <v>263000000</v>
      </c>
      <c r="C8" s="18">
        <v>218000000</v>
      </c>
      <c r="D8" s="18">
        <v>252000000</v>
      </c>
      <c r="E8" s="18">
        <v>196000000</v>
      </c>
      <c r="F8" s="8" t="s">
        <v>89</v>
      </c>
    </row>
    <row r="9" spans="1:6" x14ac:dyDescent="0.25">
      <c r="A9" t="s">
        <v>90</v>
      </c>
      <c r="B9" s="18">
        <v>192000000</v>
      </c>
      <c r="C9" s="18">
        <v>63000000</v>
      </c>
      <c r="D9" s="18">
        <v>-462000000</v>
      </c>
      <c r="E9" s="18">
        <v>-48000000</v>
      </c>
      <c r="F9" s="8" t="s">
        <v>91</v>
      </c>
    </row>
    <row r="10" spans="1:6" x14ac:dyDescent="0.25">
      <c r="A10" t="s">
        <v>92</v>
      </c>
      <c r="B10" s="18">
        <v>16071000000</v>
      </c>
      <c r="C10" s="18">
        <v>17892000000</v>
      </c>
      <c r="D10" s="18">
        <v>12032000000</v>
      </c>
      <c r="E10" s="18">
        <v>11677000000</v>
      </c>
      <c r="F10" s="8" t="s">
        <v>93</v>
      </c>
    </row>
    <row r="11" spans="1:6" x14ac:dyDescent="0.25">
      <c r="A11" t="s">
        <v>94</v>
      </c>
      <c r="B11" s="18">
        <v>2798000000</v>
      </c>
      <c r="C11" s="18">
        <v>11623000000</v>
      </c>
      <c r="D11" s="18">
        <v>1147000000</v>
      </c>
      <c r="E11" s="18">
        <v>1142000000</v>
      </c>
      <c r="F11" s="8" t="s">
        <v>95</v>
      </c>
    </row>
    <row r="12" spans="1:6" x14ac:dyDescent="0.25">
      <c r="A12" t="s">
        <v>32</v>
      </c>
      <c r="B12" s="34">
        <v>217100000</v>
      </c>
      <c r="C12" s="34">
        <v>212500000</v>
      </c>
      <c r="D12" s="34">
        <v>205000000</v>
      </c>
      <c r="E12" s="34">
        <v>213200000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2026-09-19T00:07:13Z</dcterms:modified>
</cp:coreProperties>
</file>