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<sst xmlns="http://schemas.openxmlformats.org/spreadsheetml/2006/main" count="111" uniqueCount="99">
  <si>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A. O. Smith Corporation (AOS)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</si>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</sst>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0.006729784443180398</v>
      </c>
    </row>
    <row r="7" spans="1:2" x14ac:dyDescent="0.25">
      <c r="A7" t="s">
        <v>5</v>
      </c>
      <c r="B7" s="6">
        <v>0.1874652264992257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0.020916235593528884</v>
      </c>
    </row>
    <row r="10" spans="1:2" x14ac:dyDescent="0.25">
      <c r="A10" t="s">
        <v>8</v>
      </c>
      <c r="B10" s="6">
        <v>0.021085405944388506</v>
      </c>
    </row>
    <row r="11" spans="1:2" x14ac:dyDescent="0.25">
      <c r="A11" t="s">
        <v>9</v>
      </c>
      <c r="B11" s="6">
        <v>-0.12942366026289182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9.51776362071086</v>
      </c>
    </row>
    <row r="14" spans="1:3" x14ac:dyDescent="0.25">
      <c r="A14" t="s">
        <v>12</v>
      </c>
      <c r="B14" s="6">
        <v>0.2791908500749845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1.10251</v>
      </c>
      <c r="C19" s="8" t="s">
        <v>19</v>
      </c>
    </row>
    <row r="20" spans="1:2" x14ac:dyDescent="0.25">
      <c r="A20" t="s">
        <v>20</v>
      </c>
      <c r="B20" s="10">
        <f>B17+B19*B18</f>
        <v>0.11061805000000001</v>
      </c>
    </row>
    <row r="21" spans="1:3" x14ac:dyDescent="0.25">
      <c r="A21" t="s">
        <v>21</v>
      </c>
      <c r="B21" s="6">
        <v>0.06604696673189824</v>
      </c>
      <c r="C21" s="8" t="s">
        <v>22</v>
      </c>
    </row>
    <row r="22" spans="1:2" x14ac:dyDescent="0.25">
      <c r="A22" t="s">
        <v>23</v>
      </c>
      <c r="B22" s="11">
        <v>7739993600</v>
      </c>
    </row>
    <row r="23" spans="1:2" x14ac:dyDescent="0.25">
      <c r="A23" t="s">
        <v>24</v>
      </c>
      <c r="B23" s="11">
        <v>192100000</v>
      </c>
    </row>
    <row r="24" spans="1:2" x14ac:dyDescent="0.25">
      <c r="A24" t="s">
        <v>25</v>
      </c>
      <c r="B24" s="10">
        <f>B22/(B22+B23)</f>
        <v>0.9757819297543338</v>
      </c>
    </row>
    <row r="25" spans="1:2" x14ac:dyDescent="0.25">
      <c r="A25" t="s">
        <v>26</v>
      </c>
      <c r="B25" s="10">
        <f>1-B24</f>
        <v>0.024218070245666246</v>
      </c>
    </row>
    <row r="26" spans="1:2" x14ac:dyDescent="0.25">
      <c r="A26" t="s">
        <v>27</v>
      </c>
      <c r="B26" s="12">
        <f>B24*B20+B25*B21*(1-B8)</f>
        <v>0.10920272305772416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3830200000</v>
      </c>
      <c r="C29" s="8" t="s">
        <v>30</v>
      </c>
    </row>
    <row r="30" spans="1:2" x14ac:dyDescent="0.25">
      <c r="A30" t="s">
        <v>31</v>
      </c>
      <c r="B30" s="11">
        <v>-1100000</v>
      </c>
    </row>
    <row r="31" spans="1:2" x14ac:dyDescent="0.25">
      <c r="A31" t="s">
        <v>32</v>
      </c>
      <c r="B31" s="13">
        <v>141915000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0.006729784443180398</v>
      </c>
      <c r="C5" s="10">
        <f>Assumptions!B6</f>
        <v>0.006729784443180398</v>
      </c>
      <c r="D5" s="10">
        <f>Assumptions!B6</f>
        <v>0.006729784443180398</v>
      </c>
      <c r="E5" s="10">
        <f>Assumptions!B6</f>
        <v>0.006729784443180398</v>
      </c>
      <c r="F5" s="10">
        <f>Assumptions!B6</f>
        <v>0.006729784443180398</v>
      </c>
    </row>
    <row r="6" spans="1:6" x14ac:dyDescent="0.25">
      <c r="A6" t="s">
        <v>43</v>
      </c>
      <c r="B6" s="18">
        <f>Assumptions!B29*(1+B5)</f>
        <v>3855976420.3742695</v>
      </c>
      <c r="C6" s="18">
        <f>B6*(1+C5)</f>
        <v>3881926310.5013747</v>
      </c>
      <c r="D6" s="18">
        <f>C6*(1+D5)</f>
        <v>3908050837.7953596</v>
      </c>
      <c r="E6" s="18">
        <f>D6*(1+E5)</f>
        <v>3934351177.526713</v>
      </c>
      <c r="F6" s="18">
        <f>E6*(1+F5)</f>
        <v>3960828512.875241</v>
      </c>
    </row>
    <row r="7" spans="1:6" x14ac:dyDescent="0.25">
      <c r="A7" t="s">
        <v>5</v>
      </c>
      <c r="B7" s="10">
        <f>Assumptions!B7</f>
        <v>0.1874652264992257</v>
      </c>
      <c r="C7" s="10">
        <f>Assumptions!B7</f>
        <v>0.1874652264992257</v>
      </c>
      <c r="D7" s="10">
        <f>Assumptions!B7</f>
        <v>0.1874652264992257</v>
      </c>
      <c r="E7" s="10">
        <f>Assumptions!B7</f>
        <v>0.1874652264992257</v>
      </c>
      <c r="F7" s="10">
        <f>Assumptions!B7</f>
        <v>0.1874652264992257</v>
      </c>
    </row>
    <row r="8" spans="1:6" x14ac:dyDescent="0.25">
      <c r="A8" t="s">
        <v>44</v>
      </c>
      <c r="B8" s="18">
        <f>B6*B7</f>
        <v>722861493.0211359</v>
      </c>
      <c r="C8" s="18">
        <f>C6*C7</f>
        <v>727726195.0514438</v>
      </c>
      <c r="D8" s="18">
        <f>D6*D7</f>
        <v>732623635.4777958</v>
      </c>
      <c r="E8" s="18">
        <f>E6*E7</f>
        <v>737554034.6225406</v>
      </c>
      <c r="F8" s="18">
        <f>F6*F7</f>
        <v>742517614.2907484</v>
      </c>
    </row>
    <row r="9" spans="1:6" x14ac:dyDescent="0.25">
      <c r="A9" t="s">
        <v>45</v>
      </c>
      <c r="B9" s="18">
        <f>B8*(1-Assumptions!B8)</f>
        <v>571060579.4866974</v>
      </c>
      <c r="C9" s="18">
        <f>C8*(1-Assumptions!B8)</f>
        <v>574903694.0906407</v>
      </c>
      <c r="D9" s="18">
        <f>D8*(1-Assumptions!B8)</f>
        <v>578772672.0274588</v>
      </c>
      <c r="E9" s="18">
        <f>E8*(1-Assumptions!B8)</f>
        <v>582667687.3518071</v>
      </c>
      <c r="F9" s="18">
        <f>F8*(1-Assumptions!B8)</f>
        <v>586588915.2896912</v>
      </c>
    </row>
    <row r="10" spans="1:6" x14ac:dyDescent="0.25">
      <c r="A10" t="s">
        <v>46</v>
      </c>
      <c r="B10" s="18">
        <f>B6*Assumptions!B9</f>
        <v>80652511.2516404</v>
      </c>
      <c r="C10" s="18">
        <f>C6*Assumptions!B9</f>
        <v>81195285.26716511</v>
      </c>
      <c r="D10" s="18">
        <f>D6*Assumptions!B9</f>
        <v>81741712.03481567</v>
      </c>
      <c r="E10" s="18">
        <f>E6*Assumptions!B9</f>
        <v>82291816.13682652</v>
      </c>
      <c r="F10" s="18">
        <f>F6*Assumptions!B9</f>
        <v>82845622.32086518</v>
      </c>
    </row>
    <row r="11" spans="1:6" x14ac:dyDescent="0.25">
      <c r="A11" t="s">
        <v>47</v>
      </c>
      <c r="B11" s="18">
        <f>-B6*Assumptions!B10</f>
        <v>-81304828.13558154</v>
      </c>
      <c r="C11" s="18">
        <f>-C6*Assumptions!B10</f>
        <v>-81851992.10312383</v>
      </c>
      <c r="D11" s="18">
        <f>-D6*Assumptions!B10</f>
        <v>-82402838.36622275</v>
      </c>
      <c r="E11" s="18">
        <f>-E6*Assumptions!B10</f>
        <v>-82957391.70593368</v>
      </c>
      <c r="F11" s="18">
        <f>-F6*Assumptions!B10</f>
        <v>-83515677.0700831</v>
      </c>
    </row>
    <row r="12" spans="1:6" x14ac:dyDescent="0.25">
      <c r="A12" t="s">
        <v>48</v>
      </c>
      <c r="B12" s="18">
        <f>-(B6-Assumptions!B29)*Assumptions!B11</f>
        <v>3336078.6733129364</v>
      </c>
      <c r="C12" s="18">
        <f>-(C6-B6)*Assumptions!B11</f>
        <v>3358529.7636698387</v>
      </c>
      <c r="D12" s="18">
        <f>-(D6-C6)*Assumptions!B11</f>
        <v>3381131.945025345</v>
      </c>
      <c r="E12" s="18">
        <f>-(E6-D6)*Assumptions!B11</f>
        <v>3403886.2341893027</v>
      </c>
      <c r="F12" s="18">
        <f>-(F6-E6)*Assumptions!B11</f>
        <v>3426793.6548145325</v>
      </c>
    </row>
    <row r="13" spans="1:6" x14ac:dyDescent="0.25">
      <c r="A13" s="19" t="s">
        <v>49</v>
      </c>
      <c r="B13" s="20">
        <f>B9+B10+B11+B12</f>
        <v>573744341.2760693</v>
      </c>
      <c r="C13" s="20">
        <f>C9+C10+C11+C12</f>
        <v>577605517.0183518</v>
      </c>
      <c r="D13" s="20">
        <f>D9+D10+D11+D12</f>
        <v>581492677.641077</v>
      </c>
      <c r="E13" s="20">
        <f>E9+E10+E11+E12</f>
        <v>585405998.0168892</v>
      </c>
      <c r="F13" s="20">
        <f>F9+F10+F11+F12</f>
        <v>589345654.1952877</v>
      </c>
    </row>
    <row r="14" spans="1:6" x14ac:dyDescent="0.25">
      <c r="A14" t="s">
        <v>50</v>
      </c>
      <c r="B14" s="21">
        <f>1/(1+Assumptions!$B$26)^(1-0.5*Assumptions!$B$32)</f>
        <v>0.94949905416963</v>
      </c>
      <c r="C14" s="21">
        <f>1/(1+Assumptions!$B$26)^(2-0.5*Assumptions!$B$32)</f>
        <v>0.8560194042367284</v>
      </c>
      <c r="D14" s="21">
        <f>1/(1+Assumptions!$B$26)^(3-0.5*Assumptions!$B$32)</f>
        <v>0.7717429703715037</v>
      </c>
      <c r="E14" s="21">
        <f>1/(1+Assumptions!$B$26)^(4-0.5*Assumptions!$B$32)</f>
        <v>0.6957636817227154</v>
      </c>
      <c r="F14" s="21">
        <f>1/(1+Assumptions!$B$26)^(5-0.5*Assumptions!$B$32)</f>
        <v>0.6272646715153323</v>
      </c>
    </row>
    <row r="15" spans="1:6" x14ac:dyDescent="0.25">
      <c r="A15" s="19" t="s">
        <v>51</v>
      </c>
      <c r="B15" s="20">
        <f>B13*B14</f>
        <v>544769709.3768052</v>
      </c>
      <c r="C15" s="20">
        <f>C13*C14</f>
        <v>494441530.561897</v>
      </c>
      <c r="D15" s="20">
        <f>D13*D14</f>
        <v>448762886.2920041</v>
      </c>
      <c r="E15" s="20">
        <f>E13*E14</f>
        <v>407304232.4827915</v>
      </c>
      <c r="F15" s="20">
        <f>F13*F14</f>
        <v>369675708.18779576</v>
      </c>
    </row>
    <row r="17" spans="1:2" x14ac:dyDescent="0.25">
      <c r="A17" s="22" t="s">
        <v>52</v>
      </c>
      <c r="B17" s="23">
        <f>SUM(B15:F15)</f>
        <v>2264954066.9012933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589345654.1952877</v>
      </c>
    </row>
    <row r="5" spans="1:2" x14ac:dyDescent="0.25">
      <c r="A5" t="s">
        <v>56</v>
      </c>
      <c r="B5" s="18">
        <f>IF(Assumptions!$B$33=0,B4,B4-Forecast!F11-Forecast!F10-Forecast!F12)</f>
        <v>586588915.2896912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0.08954448182411978</v>
      </c>
    </row>
    <row r="7" spans="1:2" x14ac:dyDescent="0.25">
      <c r="A7" t="s">
        <v>58</v>
      </c>
      <c r="B7" s="18">
        <f>-MAX(Forecast!F9,0)*B6</f>
        <v>-52525800.46338789</v>
      </c>
    </row>
    <row r="8" spans="1:2" x14ac:dyDescent="0.25">
      <c r="A8" t="s">
        <v>59</v>
      </c>
      <c r="B8" s="18">
        <f>IF(OR(Assumptions!$B$33=0,Assumptions!B12&lt;=0),B5,MAX(B5+B7,0))</f>
        <v>534063114.8263033</v>
      </c>
    </row>
    <row r="9" spans="1:2" x14ac:dyDescent="0.25">
      <c r="A9" t="s">
        <v>60</v>
      </c>
      <c r="B9" s="18">
        <f>B8*(1+Assumptions!B12)/(Assumptions!B26-Assumptions!B12)</f>
        <v>6501151896.497305</v>
      </c>
    </row>
    <row r="10" spans="1:2" x14ac:dyDescent="0.25">
      <c r="A10" t="s">
        <v>61</v>
      </c>
      <c r="B10" s="18">
        <f>B9/(1+Assumptions!B26)^(5-0.5*Assumptions!B32)</f>
        <v>4077942908.8276615</v>
      </c>
    </row>
    <row r="11" spans="1:2" x14ac:dyDescent="0.25">
      <c r="A11" t="s">
        <v>62</v>
      </c>
      <c r="B11" s="18">
        <f>Forecast!B17+B10</f>
        <v>6342896975.728954</v>
      </c>
    </row>
    <row r="12" spans="1:2" x14ac:dyDescent="0.25">
      <c r="A12" t="s">
        <v>63</v>
      </c>
      <c r="B12" s="18">
        <f>-Assumptions!B30</f>
        <v>1100000</v>
      </c>
    </row>
    <row r="13" spans="1:2" x14ac:dyDescent="0.25">
      <c r="A13" t="s">
        <v>64</v>
      </c>
      <c r="B13" s="18">
        <f>B11+B12</f>
        <v>6343996975.728954</v>
      </c>
    </row>
    <row r="14" spans="1:2" x14ac:dyDescent="0.25">
      <c r="A14" s="19" t="s">
        <v>65</v>
      </c>
      <c r="B14" s="24">
        <f>B13/Assumptions!B31</f>
        <v>44.70279375491636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825363236.6116135</v>
      </c>
    </row>
    <row r="18" spans="1:2" x14ac:dyDescent="0.25">
      <c r="A18" t="s">
        <v>60</v>
      </c>
      <c r="B18" s="18">
        <f>B17*Assumptions!B13</f>
        <v>7855612187.294184</v>
      </c>
    </row>
    <row r="19" spans="1:2" x14ac:dyDescent="0.25">
      <c r="A19" t="s">
        <v>61</v>
      </c>
      <c r="B19" s="18">
        <f>B18/(1+Assumptions!B26)^(5-0.5*Assumptions!B32)</f>
        <v>4927547998.214927</v>
      </c>
    </row>
    <row r="20" spans="1:2" x14ac:dyDescent="0.25">
      <c r="A20" t="s">
        <v>62</v>
      </c>
      <c r="B20" s="18">
        <f>Forecast!B17+B19</f>
        <v>7192502065.11622</v>
      </c>
    </row>
    <row r="21" spans="1:2" x14ac:dyDescent="0.25">
      <c r="A21" t="s">
        <v>63</v>
      </c>
      <c r="B21" s="18">
        <f>-Assumptions!B30</f>
        <v>1100000</v>
      </c>
    </row>
    <row r="22" spans="1:2" x14ac:dyDescent="0.25">
      <c r="A22" t="s">
        <v>64</v>
      </c>
      <c r="B22" s="18">
        <f>B20+B21</f>
        <v>7193602065.11622</v>
      </c>
    </row>
    <row r="23" spans="1:2" x14ac:dyDescent="0.25">
      <c r="A23" s="19" t="s">
        <v>65</v>
      </c>
      <c r="B23" s="25">
        <f>B22/Assumptions!B31</f>
        <v>50.689511786042495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56.95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44.70279375491636</v>
      </c>
    </row>
    <row r="29" spans="1:2" x14ac:dyDescent="0.25">
      <c r="A29" s="19" t="s">
        <v>73</v>
      </c>
      <c r="B29" s="12">
        <f>B28/B26-1</f>
        <v>-0.21505190948347053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0.089203</v>
      </c>
      <c r="B5" s="31">
        <v>53.08042059714498</v>
      </c>
      <c r="C5" s="31">
        <v>55.16164220766637</v>
      </c>
      <c r="D5" s="31">
        <v>57.559177220379446</v>
      </c>
      <c r="E5" s="31">
        <v>60.35316855089452</v>
      </c>
      <c r="F5" s="31">
        <v>63.65333050961927</v>
      </c>
    </row>
    <row r="6" spans="1:6" x14ac:dyDescent="0.25">
      <c r="A6" s="30">
        <v>0.099203</v>
      </c>
      <c r="B6" s="31">
        <v>47.1101523370259</v>
      </c>
      <c r="C6" s="31">
        <v>48.59326474772698</v>
      </c>
      <c r="D6" s="31">
        <v>50.26973163652083</v>
      </c>
      <c r="E6" s="31">
        <v>52.181463284340275</v>
      </c>
      <c r="F6" s="31">
        <v>54.3834255243299</v>
      </c>
    </row>
    <row r="7" spans="1:6" x14ac:dyDescent="0.25">
      <c r="A7" s="30">
        <v>0.109203</v>
      </c>
      <c r="B7" s="31">
        <v>42.402339902875745</v>
      </c>
      <c r="C7" s="31">
        <v>43.49063285835926</v>
      </c>
      <c r="D7" s="32">
        <v>44.70265776787554</v>
      </c>
      <c r="E7" s="31">
        <v>46.06184782600677</v>
      </c>
      <c r="F7" s="31">
        <v>47.5979521969272</v>
      </c>
    </row>
    <row r="8" spans="1:6" x14ac:dyDescent="0.25">
      <c r="A8" s="30">
        <v>0.119203</v>
      </c>
      <c r="B8" s="31">
        <v>38.593739667242886</v>
      </c>
      <c r="C8" s="31">
        <v>39.410793281248665</v>
      </c>
      <c r="D8" s="31">
        <v>40.309846278238254</v>
      </c>
      <c r="E8" s="31">
        <v>41.30468732837696</v>
      </c>
      <c r="F8" s="31">
        <v>42.412380203706576</v>
      </c>
    </row>
    <row r="9" spans="1:6" x14ac:dyDescent="0.25">
      <c r="A9" s="30">
        <v>0.129203</v>
      </c>
      <c r="B9" s="31">
        <v>35.448323166757234</v>
      </c>
      <c r="C9" s="31">
        <v>36.07302521465941</v>
      </c>
      <c r="D9" s="31">
        <v>36.75356606143447</v>
      </c>
      <c r="E9" s="31">
        <v>37.49838881851144</v>
      </c>
      <c r="F9" s="31">
        <v>38.3177291328923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3830200000</v>
      </c>
      <c r="C5" s="18">
        <v>3818100000</v>
      </c>
      <c r="D5" s="18">
        <v>3852800000</v>
      </c>
      <c r="E5" s="18">
        <v>3753900000</v>
      </c>
      <c r="F5" s="8" t="s">
        <v>84</v>
      </c>
    </row>
    <row r="6" spans="1:6" x14ac:dyDescent="0.25">
      <c r="A6" t="s">
        <v>44</v>
      </c>
      <c r="B6" s="18">
        <v>728000000</v>
      </c>
      <c r="C6" s="18">
        <v>716800000</v>
      </c>
      <c r="D6" s="18">
        <v>757400000</v>
      </c>
      <c r="E6" s="18">
        <v>658700000</v>
      </c>
      <c r="F6" s="8" t="s">
        <v>85</v>
      </c>
    </row>
    <row r="7" spans="1:6" x14ac:dyDescent="0.25">
      <c r="A7" t="s">
        <v>86</v>
      </c>
      <c r="B7" s="18">
        <v>85100000</v>
      </c>
      <c r="C7" s="18">
        <v>78800000</v>
      </c>
      <c r="D7" s="18">
        <v>78300000</v>
      </c>
      <c r="E7" s="18">
        <v>76900000</v>
      </c>
      <c r="F7" s="8" t="s">
        <v>87</v>
      </c>
    </row>
    <row r="8" spans="1:6" x14ac:dyDescent="0.25">
      <c r="A8" t="s">
        <v>88</v>
      </c>
      <c r="B8" s="18">
        <v>70800000</v>
      </c>
      <c r="C8" s="18">
        <v>108000000</v>
      </c>
      <c r="D8" s="18">
        <v>72600000</v>
      </c>
      <c r="E8" s="18">
        <v>70300000</v>
      </c>
      <c r="F8" s="8" t="s">
        <v>89</v>
      </c>
    </row>
    <row r="9" spans="1:6" x14ac:dyDescent="0.25">
      <c r="A9" t="s">
        <v>90</v>
      </c>
      <c r="B9" s="18">
        <v>37200000</v>
      </c>
      <c r="C9" s="18">
        <v>45600000</v>
      </c>
      <c r="D9" s="18">
        <v>-12800000</v>
      </c>
      <c r="E9" s="18">
        <v>181900000</v>
      </c>
      <c r="F9" s="8" t="s">
        <v>91</v>
      </c>
    </row>
    <row r="10" spans="1:6" x14ac:dyDescent="0.25">
      <c r="A10" t="s">
        <v>92</v>
      </c>
      <c r="B10" s="18">
        <v>192100000</v>
      </c>
      <c r="C10" s="18">
        <v>216700000</v>
      </c>
      <c r="D10" s="18">
        <v>155200000</v>
      </c>
      <c r="E10" s="18">
        <v>366900000</v>
      </c>
      <c r="F10" s="8" t="s">
        <v>93</v>
      </c>
    </row>
    <row r="11" spans="1:6" x14ac:dyDescent="0.25">
      <c r="A11" t="s">
        <v>94</v>
      </c>
      <c r="B11" s="18">
        <v>193200000</v>
      </c>
      <c r="C11" s="18">
        <v>276100000</v>
      </c>
      <c r="D11" s="18">
        <v>363400000</v>
      </c>
      <c r="E11" s="18">
        <v>481800000</v>
      </c>
      <c r="F11" s="8" t="s">
        <v>95</v>
      </c>
    </row>
    <row r="12" spans="1:6" x14ac:dyDescent="0.25">
      <c r="A12" t="s">
        <v>32</v>
      </c>
      <c r="B12" s="34">
        <v>141915000</v>
      </c>
      <c r="C12" s="34">
        <v>147084000</v>
      </c>
      <c r="D12" s="34">
        <v>151016000</v>
      </c>
      <c r="E12" s="34">
        <v>155779000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2026-09-19T01:03:08Z</dcterms:modified>
</cp:coreProperties>
</file>