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<sst xmlns="http://schemas.openxmlformats.org/spreadsheetml/2006/main" count="119" uniqueCount="106">
  <si>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A. O. Smith Corporation (AOS)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</si>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</sst>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-0.14489012845282234</v>
      </c>
    </row>
    <row r="7" spans="1:2" x14ac:dyDescent="0.25">
      <c r="A7" t="s">
        <v>4</v>
      </c>
      <c r="B7" s="5">
        <v>0.1874652264992257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0.020916235593528884</v>
      </c>
    </row>
    <row r="10" spans="1:3" x14ac:dyDescent="0.25">
      <c r="A10" t="s">
        <v>7</v>
      </c>
      <c r="B10" s="5">
        <v>0.021085405944388506</v>
      </c>
      <c r="C10" s="6" t="s">
        <v>8</v>
      </c>
    </row>
    <row r="11" spans="1:2" x14ac:dyDescent="0.25">
      <c r="A11" t="s">
        <v>9</v>
      </c>
      <c r="B11" s="5">
        <v>0.12746651824462446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10.806419953265282</v>
      </c>
    </row>
    <row r="14" spans="1:3" x14ac:dyDescent="0.25">
      <c r="A14" t="s">
        <v>12</v>
      </c>
      <c r="B14" s="5">
        <v>0.2791908500749845</v>
      </c>
      <c r="C14" s="6" t="s">
        <v>13</v>
      </c>
    </row>
    <row r="15" spans="1:3" x14ac:dyDescent="0.25">
      <c r="A15" t="s">
        <v>14</v>
      </c>
      <c r="B15" s="5">
        <v>0.020916235593528884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1.0247899999999999</v>
      </c>
      <c r="C19" s="6" t="s">
        <v>21</v>
      </c>
    </row>
    <row r="20" spans="1:2" x14ac:dyDescent="0.25">
      <c r="A20" t="s">
        <v>22</v>
      </c>
      <c r="B20" s="9">
        <f>B17+B19*B18</f>
        <v>0.09228861699999999</v>
      </c>
    </row>
    <row r="21" spans="1:3" x14ac:dyDescent="0.25">
      <c r="A21" t="s">
        <v>23</v>
      </c>
      <c r="B21" s="5">
        <v>0.06604696673189824</v>
      </c>
      <c r="C21" s="6" t="s">
        <v>24</v>
      </c>
    </row>
    <row r="22" spans="1:2" x14ac:dyDescent="0.25">
      <c r="A22" t="s">
        <v>25</v>
      </c>
      <c r="B22" s="10">
        <v>8787800064</v>
      </c>
    </row>
    <row r="23" spans="1:2" x14ac:dyDescent="0.25">
      <c r="A23" t="s">
        <v>26</v>
      </c>
      <c r="B23" s="10">
        <v>192100000</v>
      </c>
    </row>
    <row r="24" spans="1:2" x14ac:dyDescent="0.25">
      <c r="A24" t="s">
        <v>27</v>
      </c>
      <c r="B24" s="9">
        <f>B22/(B22+B23)</f>
        <v>0.9786077797491177</v>
      </c>
    </row>
    <row r="25" spans="1:2" x14ac:dyDescent="0.25">
      <c r="A25" t="s">
        <v>28</v>
      </c>
      <c r="B25" s="9">
        <f>1-B24</f>
        <v>0.021392220250882277</v>
      </c>
    </row>
    <row r="26" spans="1:2" x14ac:dyDescent="0.25">
      <c r="A26" t="s">
        <v>29</v>
      </c>
      <c r="B26" s="11">
        <f>B24*B20+B25*B21*(1-B8)</f>
        <v>0.09143054267327953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3830200000</v>
      </c>
      <c r="C29" s="6" t="s">
        <v>32</v>
      </c>
    </row>
    <row r="30" spans="1:2" x14ac:dyDescent="0.25">
      <c r="A30" t="s">
        <v>33</v>
      </c>
      <c r="B30" s="10">
        <v>-1100000</v>
      </c>
    </row>
    <row r="31" spans="1:2" x14ac:dyDescent="0.25">
      <c r="A31" t="s">
        <v>34</v>
      </c>
      <c r="B31" s="12">
        <v>141915000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-0.14489012845282234</v>
      </c>
      <c r="C5" s="5">
        <v>0.2306743316111104</v>
      </c>
      <c r="D5" s="5">
        <v>0.20496504015972158</v>
      </c>
      <c r="E5" s="5">
        <v>0.1792557487083328</v>
      </c>
      <c r="F5" s="5">
        <v>0.153546457256944</v>
      </c>
      <c r="G5" s="5">
        <v>0.1278371658055552</v>
      </c>
      <c r="H5" s="5">
        <v>0.1021278743541664</v>
      </c>
      <c r="I5" s="5">
        <v>0.07641858290277759</v>
      </c>
      <c r="J5" s="5">
        <v>0.050709291451388805</v>
      </c>
      <c r="K5" s="5">
        <v>0.024999999999999994</v>
      </c>
    </row>
    <row r="6" spans="1:11" x14ac:dyDescent="0.25">
      <c r="A6" t="s">
        <v>50</v>
      </c>
      <c r="B6" s="18">
        <f>Assumptions!B29*(1+B5)</f>
        <v>3275241830</v>
      </c>
      <c r="C6" s="18">
        <f>B6*(1+C5)</f>
        <v>4030756050</v>
      </c>
      <c r="D6" s="18">
        <f>C6*(1+D5)</f>
        <v>4856920125.662291</v>
      </c>
      <c r="E6" s="18">
        <f>D6*(1+E5)</f>
        <v>5727550979.204454</v>
      </c>
      <c r="F6" s="18">
        <f>E6*(1+F5)</f>
        <v>6606996140.8198395</v>
      </c>
      <c r="G6" s="18">
        <f>F6*(1+G5)</f>
        <v>7451615801.950489</v>
      </c>
      <c r="H6" s="18">
        <f>G6*(1+H5)</f>
        <v>8212633484.3076105</v>
      </c>
      <c r="I6" s="18">
        <f>H6*(1+I5)</f>
        <v>8840231297.078299</v>
      </c>
      <c r="J6" s="18">
        <f>I6*(1+J5)</f>
        <v>9288513162.41953</v>
      </c>
      <c r="K6" s="18">
        <f>J6*(1+K5)</f>
        <v>9520725991.480019</v>
      </c>
    </row>
    <row r="7" spans="1:11" x14ac:dyDescent="0.25">
      <c r="A7" t="s">
        <v>4</v>
      </c>
      <c r="B7" s="9">
        <f>Assumptions!B7</f>
        <v>0.1874652264992257</v>
      </c>
      <c r="C7" s="9">
        <f>Assumptions!B7</f>
        <v>0.1874652264992257</v>
      </c>
      <c r="D7" s="9">
        <f>Assumptions!B7</f>
        <v>0.1874652264992257</v>
      </c>
      <c r="E7" s="9">
        <f>Assumptions!B7</f>
        <v>0.1874652264992257</v>
      </c>
      <c r="F7" s="9">
        <f>Assumptions!B7</f>
        <v>0.1874652264992257</v>
      </c>
      <c r="G7" s="9">
        <f>Assumptions!B7</f>
        <v>0.1874652264992257</v>
      </c>
      <c r="H7" s="9">
        <f>Assumptions!B7</f>
        <v>0.1874652264992257</v>
      </c>
      <c r="I7" s="9">
        <f>Assumptions!B7</f>
        <v>0.1874652264992257</v>
      </c>
      <c r="J7" s="9">
        <f>Assumptions!B7</f>
        <v>0.1874652264992257</v>
      </c>
      <c r="K7" s="9">
        <f>Assumptions!B7</f>
        <v>0.1874652264992257</v>
      </c>
    </row>
    <row r="8" spans="1:11" x14ac:dyDescent="0.25">
      <c r="A8" t="s">
        <v>51</v>
      </c>
      <c r="B8" s="18">
        <f>B6*B7</f>
        <v>613993951.5006884</v>
      </c>
      <c r="C8" s="18">
        <f>C6*C7</f>
        <v>755626595.8763744</v>
      </c>
      <c r="D8" s="18">
        <f>D6*D7</f>
        <v>910503631.445929</v>
      </c>
      <c r="E8" s="18">
        <f>E6*E7</f>
        <v>1073716641.602425</v>
      </c>
      <c r="F8" s="18">
        <f>F6*F7</f>
        <v>1238582028.0183012</v>
      </c>
      <c r="G8" s="18">
        <f>G6*G7</f>
        <v>1396918844.0978577</v>
      </c>
      <c r="H8" s="18">
        <f>H6*H7</f>
        <v>1539583196.2908514</v>
      </c>
      <c r="I8" s="18">
        <f>I6*I7</f>
        <v>1657235962.412327</v>
      </c>
      <c r="J8" s="18">
        <f>J6*J7</f>
        <v>1741273223.8340166</v>
      </c>
      <c r="K8" s="18">
        <f>K6*K7</f>
        <v>1784805054.4298668</v>
      </c>
    </row>
    <row r="9" spans="1:11" x14ac:dyDescent="0.25">
      <c r="A9" t="s">
        <v>52</v>
      </c>
      <c r="B9" s="18">
        <f>B8*(1-Assumptions!B8)</f>
        <v>485055221.6855439</v>
      </c>
      <c r="C9" s="18">
        <f>C8*(1-Assumptions!B8)</f>
        <v>596945010.7423358</v>
      </c>
      <c r="D9" s="18">
        <f>D8*(1-Assumptions!B8)</f>
        <v>719297868.842284</v>
      </c>
      <c r="E9" s="18">
        <f>E8*(1-Assumptions!B8)</f>
        <v>848236146.8659158</v>
      </c>
      <c r="F9" s="18">
        <f>F8*(1-Assumptions!B8)</f>
        <v>978479802.1344581</v>
      </c>
      <c r="G9" s="18">
        <f>G8*(1-Assumptions!B8)</f>
        <v>1103565886.8373077</v>
      </c>
      <c r="H9" s="18">
        <f>H8*(1-Assumptions!B8)</f>
        <v>1216270725.0697727</v>
      </c>
      <c r="I9" s="18">
        <f>I8*(1-Assumptions!B8)</f>
        <v>1309216410.3057384</v>
      </c>
      <c r="J9" s="18">
        <f>J8*(1-Assumptions!B8)</f>
        <v>1375605846.8288732</v>
      </c>
      <c r="K9" s="18">
        <f>K8*(1-Assumptions!B8)</f>
        <v>1409995992.999595</v>
      </c>
    </row>
    <row r="10" spans="1:11" x14ac:dyDescent="0.25">
      <c r="A10" t="s">
        <v>53</v>
      </c>
      <c r="B10" s="18">
        <f>B6*Assumptions!B9</f>
        <v>68505729.74206068</v>
      </c>
      <c r="C10" s="18">
        <f>C6*Assumptions!B9</f>
        <v>84308243.16184188</v>
      </c>
      <c r="D10" s="18">
        <f>D6*Assumptions!B9</f>
        <v>101588485.60730438</v>
      </c>
      <c r="E10" s="18">
        <f>E6*Assumptions!B9</f>
        <v>119798805.65498742</v>
      </c>
      <c r="F10" s="18">
        <f>F6*Assumptions!B9</f>
        <v>138193487.8469239</v>
      </c>
      <c r="G10" s="18">
        <f>G6*Assumptions!B9</f>
        <v>155859751.6660591</v>
      </c>
      <c r="H10" s="18">
        <f>H6*Assumptions!B9</f>
        <v>171777376.801082</v>
      </c>
      <c r="I10" s="18">
        <f>I6*Assumptions!B9</f>
        <v>184904360.51097712</v>
      </c>
      <c r="J10" s="18">
        <f>J6*Assumptions!B9</f>
        <v>194280729.6187609</v>
      </c>
      <c r="K10" s="18">
        <f>K6*Assumptions!B9</f>
        <v>199137747.85922995</v>
      </c>
    </row>
    <row r="11" spans="1:11" x14ac:dyDescent="0.25">
      <c r="A11" t="s">
        <v>54</v>
      </c>
      <c r="B11" s="18">
        <f>-B6*B19</f>
        <v>-69059803.55159189</v>
      </c>
      <c r="C11" s="18">
        <f>-C6*C19</f>
        <v>-90853599.49362859</v>
      </c>
      <c r="D11" s="18">
        <f>-D6*D19</f>
        <v>-116540689.83593106</v>
      </c>
      <c r="E11" s="18">
        <f>-E6*E19</f>
        <v>-145763048.9393318</v>
      </c>
      <c r="F11" s="18">
        <f>-F6*F19</f>
        <v>-177755533.0365175</v>
      </c>
      <c r="G11" s="18">
        <f>-G6*G19</f>
        <v>-211319034.7012655</v>
      </c>
      <c r="H11" s="18">
        <f>-H6*H19</f>
        <v>-244847376.05323538</v>
      </c>
      <c r="I11" s="18">
        <f>-I6*I19</f>
        <v>-276417998.89493763</v>
      </c>
      <c r="J11" s="18">
        <f>-J6*J19</f>
        <v>-303946801.0652963</v>
      </c>
      <c r="K11" s="18">
        <f>-K6*K19</f>
        <v>-325395108.42646384</v>
      </c>
    </row>
    <row r="12" spans="1:11" x14ac:dyDescent="0.25">
      <c r="A12" t="s">
        <v>55</v>
      </c>
      <c r="B12" s="18">
        <f>-(B6-Assumptions!B29)*Assumptions!B11</f>
        <v>70738585.7013084</v>
      </c>
      <c r="C12" s="18">
        <f>-(C6-B6)*Assumptions!B11</f>
        <v>-96302767.10770322</v>
      </c>
      <c r="D12" s="18">
        <f>-(D6-C6)*Assumptions!B11</f>
        <v>-105308258.22346066</v>
      </c>
      <c r="E12" s="18">
        <f>-(E6-D6)*Assumptions!B11</f>
        <v>-110976283.57736519</v>
      </c>
      <c r="F12" s="18">
        <f>-(F6-E6)*Assumptions!B11</f>
        <v>-112099812.73819418</v>
      </c>
      <c r="G12" s="18">
        <f>-(G6-F6)*Assumptions!B11</f>
        <v>-107660727.44527847</v>
      </c>
      <c r="H12" s="18">
        <f>-(H6-G6)*Assumptions!B11</f>
        <v>-97004274.29265584</v>
      </c>
      <c r="I12" s="18">
        <f>-(I6-H6)*Assumptions!B11</f>
        <v>-79997708.05182132</v>
      </c>
      <c r="J12" s="18">
        <f>-(J6-I6)*Assumptions!B11</f>
        <v>-57140928.56725247</v>
      </c>
      <c r="K12" s="18">
        <f>-(K6-J6)*Assumptions!B11</f>
        <v>-29599360.812074523</v>
      </c>
    </row>
    <row r="13" spans="1:11" x14ac:dyDescent="0.25">
      <c r="A13" s="19" t="s">
        <v>56</v>
      </c>
      <c r="B13" s="20">
        <f>B9+B10+B11+B12</f>
        <v>555239733.577321</v>
      </c>
      <c r="C13" s="20">
        <f>C9+C10+C11+C12</f>
        <v>494096887.30284584</v>
      </c>
      <c r="D13" s="20">
        <f>D9+D10+D11+D12</f>
        <v>599037406.3901966</v>
      </c>
      <c r="E13" s="20">
        <f>E9+E10+E11+E12</f>
        <v>711295620.0042063</v>
      </c>
      <c r="F13" s="20">
        <f>F9+F10+F11+F12</f>
        <v>826817944.2066702</v>
      </c>
      <c r="G13" s="20">
        <f>G9+G10+G11+G12</f>
        <v>940445876.3568227</v>
      </c>
      <c r="H13" s="20">
        <f>H9+H10+H11+H12</f>
        <v>1046196451.5249635</v>
      </c>
      <c r="I13" s="20">
        <f>I9+I10+I11+I12</f>
        <v>1137705063.8699565</v>
      </c>
      <c r="J13" s="20">
        <f>J9+J10+J11+J12</f>
        <v>1208798846.8150852</v>
      </c>
      <c r="K13" s="20">
        <f>K9+K10+K11+K12</f>
        <v>1254139271.6202867</v>
      </c>
    </row>
    <row r="14" spans="1:11" x14ac:dyDescent="0.25">
      <c r="A14" t="s">
        <v>57</v>
      </c>
      <c r="B14" s="21">
        <f>1/(1+Assumptions!$B$26)^(1-0.5*Assumptions!$B$32)</f>
        <v>0.9571983658983146</v>
      </c>
      <c r="C14" s="21">
        <f>1/(1+Assumptions!$B$26)^(2-0.5*Assumptions!$B$32)</f>
        <v>0.8770126256076861</v>
      </c>
      <c r="D14" s="21">
        <f>1/(1+Assumptions!$B$26)^(3-0.5*Assumptions!$B$32)</f>
        <v>0.8035441480862244</v>
      </c>
      <c r="E14" s="21">
        <f>1/(1+Assumptions!$B$26)^(4-0.5*Assumptions!$B$32)</f>
        <v>0.7362302195777619</v>
      </c>
      <c r="F14" s="21">
        <f>1/(1+Assumptions!$B$26)^(5-0.5*Assumptions!$B$32)</f>
        <v>0.6745552655824412</v>
      </c>
      <c r="G14" s="21">
        <f>1/(1+Assumptions!$B$26)^(6-0.5*Assumptions!$B$32)</f>
        <v>0.6180469019404835</v>
      </c>
      <c r="H14" s="21">
        <f>1/(1+Assumptions!$B$26)^(7-0.5*Assumptions!$B$32)</f>
        <v>0.566272316721758</v>
      </c>
      <c r="I14" s="21">
        <f>1/(1+Assumptions!$B$26)^(8-0.5*Assumptions!$B$32)</f>
        <v>0.5188349552091214</v>
      </c>
      <c r="J14" s="21">
        <f>1/(1+Assumptions!$B$26)^(9-0.5*Assumptions!$B$32)</f>
        <v>0.47537148258497564</v>
      </c>
      <c r="K14" s="21">
        <f>1/(1+Assumptions!$B$26)^(10-0.5*Assumptions!$B$32)</f>
        <v>0.4355490010574849</v>
      </c>
    </row>
    <row r="15" spans="1:11" x14ac:dyDescent="0.25">
      <c r="A15" s="19" t="s">
        <v>58</v>
      </c>
      <c r="B15" s="20">
        <f>B13*B14</f>
        <v>531474565.6620273</v>
      </c>
      <c r="C15" s="20">
        <f>C13*C14</f>
        <v>433329208.4380538</v>
      </c>
      <c r="D15" s="20">
        <f>D13*D14</f>
        <v>481353002.38959193</v>
      </c>
      <c r="E15" s="20">
        <f>E13*E14</f>
        <v>523677330.5003971</v>
      </c>
      <c r="F15" s="20">
        <f>F13*F14</f>
        <v>557734397.9426584</v>
      </c>
      <c r="G15" s="20">
        <f>G13*G14</f>
        <v>581239660.3250372</v>
      </c>
      <c r="H15" s="20">
        <f>H13*H14</f>
        <v>592432088.3511236</v>
      </c>
      <c r="I15" s="20">
        <f>I13*I14</f>
        <v>590281155.8541595</v>
      </c>
      <c r="J15" s="20">
        <f>J13*J14</f>
        <v>574628499.9574959</v>
      </c>
      <c r="K15" s="20">
        <f>K13*K14</f>
        <v>546239106.9411776</v>
      </c>
    </row>
    <row r="17" spans="1:2" x14ac:dyDescent="0.25">
      <c r="A17" s="22" t="s">
        <v>59</v>
      </c>
      <c r="B17" s="23">
        <f>SUM(B15:K15)</f>
        <v>5412389016.361722</v>
      </c>
    </row>
    <row r="19" spans="1:11" x14ac:dyDescent="0.25">
      <c r="A19" t="s">
        <v>7</v>
      </c>
      <c r="B19" s="9">
        <f>Assumptions!$B$10+($B$20-Assumptions!$B$10)*0/9</f>
        <v>0.021085405944388506</v>
      </c>
      <c r="C19" s="9">
        <f>Assumptions!$B$10+($B$20-Assumptions!$B$10)*1/9</f>
        <v>0.022540088848499923</v>
      </c>
      <c r="D19" s="9">
        <f>Assumptions!$B$10+($B$20-Assumptions!$B$10)*2/9</f>
        <v>0.023994771752611343</v>
      </c>
      <c r="E19" s="9">
        <f>Assumptions!$B$10+($B$20-Assumptions!$B$10)*3/9</f>
        <v>0.02544945465672276</v>
      </c>
      <c r="F19" s="9">
        <f>Assumptions!$B$10+($B$20-Assumptions!$B$10)*4/9</f>
        <v>0.02690413756083418</v>
      </c>
      <c r="G19" s="9">
        <f>Assumptions!$B$10+($B$20-Assumptions!$B$10)*5/9</f>
        <v>0.028358820464945596</v>
      </c>
      <c r="H19" s="9">
        <f>Assumptions!$B$10+($B$20-Assumptions!$B$10)*6/9</f>
        <v>0.029813503369057012</v>
      </c>
      <c r="I19" s="9">
        <f>Assumptions!$B$10+($B$20-Assumptions!$B$10)*7/9</f>
        <v>0.031268186273168436</v>
      </c>
      <c r="J19" s="9">
        <f>Assumptions!$B$10+($B$20-Assumptions!$B$10)*8/9</f>
        <v>0.03272286917727985</v>
      </c>
      <c r="K19" s="9">
        <f>Assumptions!$B$10+($B$20-Assumptions!$B$10)*9/9</f>
        <v>0.03417755208139127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0.03417755208139127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1254139271.6202867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1409995992.999595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0.08954448182411978</v>
      </c>
    </row>
    <row r="7" spans="1:2" x14ac:dyDescent="0.25">
      <c r="A7" t="s">
        <v>66</v>
      </c>
      <c r="B7" s="18">
        <f>-MAX(B5,0)*B6</f>
        <v>-126257360.56723395</v>
      </c>
    </row>
    <row r="8" spans="1:2" x14ac:dyDescent="0.25">
      <c r="A8" t="s">
        <v>67</v>
      </c>
      <c r="B8" s="18">
        <f>IF(OR(Assumptions!$B$33=0,Assumptions!B12&lt;=0),B5,MAX(B5+B7,0))</f>
        <v>1283738632.432361</v>
      </c>
    </row>
    <row r="9" spans="1:2" x14ac:dyDescent="0.25">
      <c r="A9" t="s">
        <v>68</v>
      </c>
      <c r="B9" s="18">
        <f>B8*(1+Assumptions!B12)/(Assumptions!B26-Assumptions!B12)</f>
        <v>19807637350.107624</v>
      </c>
    </row>
    <row r="10" spans="1:2" x14ac:dyDescent="0.25">
      <c r="A10" t="s">
        <v>69</v>
      </c>
      <c r="B10" s="18">
        <f>B9/(1+Assumptions!B26)^(10-0.5*Assumptions!B32)</f>
        <v>8627196661.148302</v>
      </c>
    </row>
    <row r="11" spans="1:2" x14ac:dyDescent="0.25">
      <c r="A11" t="s">
        <v>70</v>
      </c>
      <c r="B11" s="18">
        <f>Forecast!B17+B10</f>
        <v>14039585677.510025</v>
      </c>
    </row>
    <row r="12" spans="1:2" x14ac:dyDescent="0.25">
      <c r="A12" t="s">
        <v>71</v>
      </c>
      <c r="B12" s="18">
        <f>-Assumptions!B30</f>
        <v>1100000</v>
      </c>
    </row>
    <row r="13" spans="1:2" x14ac:dyDescent="0.25">
      <c r="A13" t="s">
        <v>72</v>
      </c>
      <c r="B13" s="18">
        <f>B11+B12</f>
        <v>14040685677.510025</v>
      </c>
    </row>
    <row r="14" spans="1:2" x14ac:dyDescent="0.25">
      <c r="A14" s="19" t="s">
        <v>73</v>
      </c>
      <c r="B14" s="24">
        <f>B13/Assumptions!B31</f>
        <v>98.93729117788835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1983942802.2890968</v>
      </c>
    </row>
    <row r="18" spans="1:2" x14ac:dyDescent="0.25">
      <c r="A18" t="s">
        <v>68</v>
      </c>
      <c r="B18" s="18">
        <f>B17*Assumptions!B13</f>
        <v>21439319084.793934</v>
      </c>
    </row>
    <row r="19" spans="1:2" x14ac:dyDescent="0.25">
      <c r="A19" t="s">
        <v>69</v>
      </c>
      <c r="B19" s="18">
        <f>B18/(1+Assumptions!B26)^(10-0.5*Assumptions!B32)</f>
        <v>9337874010.734669</v>
      </c>
    </row>
    <row r="20" spans="1:2" x14ac:dyDescent="0.25">
      <c r="A20" t="s">
        <v>70</v>
      </c>
      <c r="B20" s="18">
        <f>Forecast!B17+B19</f>
        <v>14750263027.09639</v>
      </c>
    </row>
    <row r="21" spans="1:2" x14ac:dyDescent="0.25">
      <c r="A21" t="s">
        <v>71</v>
      </c>
      <c r="B21" s="18">
        <f>-Assumptions!B30</f>
        <v>1100000</v>
      </c>
    </row>
    <row r="22" spans="1:2" x14ac:dyDescent="0.25">
      <c r="A22" t="s">
        <v>72</v>
      </c>
      <c r="B22" s="18">
        <f>B20+B21</f>
        <v>14751363027.09639</v>
      </c>
    </row>
    <row r="23" spans="1:2" x14ac:dyDescent="0.25">
      <c r="A23" s="19" t="s">
        <v>73</v>
      </c>
      <c r="B23" s="25">
        <f>B22/Assumptions!B31</f>
        <v>103.945058852809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65.42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98.93729117788835</v>
      </c>
    </row>
    <row r="29" spans="1:2" x14ac:dyDescent="0.25">
      <c r="A29" s="19" t="s">
        <v>81</v>
      </c>
      <c r="B29" s="11">
        <f>B28/B26-1</f>
        <v>0.5123401280631052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0.071431</v>
      </c>
      <c r="B5" s="31">
        <v>130.76596865850715</v>
      </c>
      <c r="C5" s="31">
        <v>137.4781555488339</v>
      </c>
      <c r="D5" s="31">
        <v>145.71640910130654</v>
      </c>
      <c r="E5" s="31">
        <v>156.0332383051406</v>
      </c>
      <c r="F5" s="31">
        <v>169.28447019693738</v>
      </c>
    </row>
    <row r="6" spans="1:6" x14ac:dyDescent="0.25">
      <c r="A6" s="30">
        <v>0.081431</v>
      </c>
      <c r="B6" s="31">
        <v>109.17700678369805</v>
      </c>
      <c r="C6" s="31">
        <v>113.25718464965033</v>
      </c>
      <c r="D6" s="31">
        <v>118.1228340980369</v>
      </c>
      <c r="E6" s="31">
        <v>124.00304018916218</v>
      </c>
      <c r="F6" s="31">
        <v>131.22556561693926</v>
      </c>
    </row>
    <row r="7" spans="1:6" x14ac:dyDescent="0.25">
      <c r="A7" s="30">
        <v>0.091431</v>
      </c>
      <c r="B7" s="31">
        <v>93.34599834201714</v>
      </c>
      <c r="C7" s="31">
        <v>95.92232785270464</v>
      </c>
      <c r="D7" s="32">
        <v>98.93654798737626</v>
      </c>
      <c r="E7" s="31">
        <v>102.49558129913645</v>
      </c>
      <c r="F7" s="31">
        <v>106.74424531126729</v>
      </c>
    </row>
    <row r="8" spans="1:6" x14ac:dyDescent="0.25">
      <c r="A8" s="30">
        <v>0.101431</v>
      </c>
      <c r="B8" s="31">
        <v>81.26740507605489</v>
      </c>
      <c r="C8" s="31">
        <v>82.93006739480718</v>
      </c>
      <c r="D8" s="31">
        <v>84.8513878921329</v>
      </c>
      <c r="E8" s="31">
        <v>87.08568293877597</v>
      </c>
      <c r="F8" s="31">
        <v>89.70362162356167</v>
      </c>
    </row>
    <row r="9" spans="1:6" x14ac:dyDescent="0.25">
      <c r="A9" s="30">
        <v>0.111431</v>
      </c>
      <c r="B9" s="31">
        <v>71.76812185228076</v>
      </c>
      <c r="C9" s="31">
        <v>72.85013964356827</v>
      </c>
      <c r="D9" s="31">
        <v>74.09173265453722</v>
      </c>
      <c r="E9" s="31">
        <v>75.52229544371231</v>
      </c>
      <c r="F9" s="31">
        <v>77.17891435921261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3830200000</v>
      </c>
      <c r="C5" s="18">
        <v>3818100000</v>
      </c>
      <c r="D5" s="18">
        <v>3852800000</v>
      </c>
      <c r="E5" s="18">
        <v>3753900000</v>
      </c>
      <c r="F5" s="6" t="s">
        <v>91</v>
      </c>
    </row>
    <row r="6" spans="1:6" x14ac:dyDescent="0.25">
      <c r="A6" t="s">
        <v>51</v>
      </c>
      <c r="B6" s="18">
        <v>728000000</v>
      </c>
      <c r="C6" s="18">
        <v>716800000</v>
      </c>
      <c r="D6" s="18">
        <v>757400000</v>
      </c>
      <c r="E6" s="18">
        <v>658700000</v>
      </c>
      <c r="F6" s="6" t="s">
        <v>92</v>
      </c>
    </row>
    <row r="7" spans="1:6" x14ac:dyDescent="0.25">
      <c r="A7" t="s">
        <v>93</v>
      </c>
      <c r="B7" s="18">
        <v>85100000</v>
      </c>
      <c r="C7" s="18">
        <v>78800000</v>
      </c>
      <c r="D7" s="18">
        <v>78300000</v>
      </c>
      <c r="E7" s="18">
        <v>76900000</v>
      </c>
      <c r="F7" s="6" t="s">
        <v>94</v>
      </c>
    </row>
    <row r="8" spans="1:6" x14ac:dyDescent="0.25">
      <c r="A8" t="s">
        <v>95</v>
      </c>
      <c r="B8" s="18">
        <v>70800000</v>
      </c>
      <c r="C8" s="18">
        <v>108000000</v>
      </c>
      <c r="D8" s="18">
        <v>72600000</v>
      </c>
      <c r="E8" s="18">
        <v>70300000</v>
      </c>
      <c r="F8" s="6" t="s">
        <v>96</v>
      </c>
    </row>
    <row r="9" spans="1:6" x14ac:dyDescent="0.25">
      <c r="A9" t="s">
        <v>97</v>
      </c>
      <c r="B9" s="18">
        <v>37200000</v>
      </c>
      <c r="C9" s="18">
        <v>45600000</v>
      </c>
      <c r="D9" s="18">
        <v>-12800000</v>
      </c>
      <c r="E9" s="18">
        <v>181900000</v>
      </c>
      <c r="F9" s="6" t="s">
        <v>98</v>
      </c>
    </row>
    <row r="10" spans="1:6" x14ac:dyDescent="0.25">
      <c r="A10" t="s">
        <v>99</v>
      </c>
      <c r="B10" s="18">
        <v>192100000</v>
      </c>
      <c r="C10" s="18">
        <v>216700000</v>
      </c>
      <c r="D10" s="18">
        <v>155200000</v>
      </c>
      <c r="E10" s="18">
        <v>366900000</v>
      </c>
      <c r="F10" s="6" t="s">
        <v>100</v>
      </c>
    </row>
    <row r="11" spans="1:6" x14ac:dyDescent="0.25">
      <c r="A11" t="s">
        <v>101</v>
      </c>
      <c r="B11" s="18">
        <v>193200000</v>
      </c>
      <c r="C11" s="18">
        <v>276100000</v>
      </c>
      <c r="D11" s="18">
        <v>363400000</v>
      </c>
      <c r="E11" s="18">
        <v>481800000</v>
      </c>
      <c r="F11" s="6" t="s">
        <v>102</v>
      </c>
    </row>
    <row r="12" spans="1:6" x14ac:dyDescent="0.25">
      <c r="A12" t="s">
        <v>34</v>
      </c>
      <c r="B12" s="34">
        <v>141915000</v>
      </c>
      <c r="C12" s="34">
        <v>147084000</v>
      </c>
      <c r="D12" s="34">
        <v>151016000</v>
      </c>
      <c r="E12" s="34">
        <v>155779000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