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<sst xmlns="http://schemas.openxmlformats.org/spreadsheetml/2006/main" count="120" uniqueCount="107">
  <si>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APA Corporation (APA)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</si>
  <si>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</si>
  <si>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</si>
  <si>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</si>
  <si>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</si>
  <si>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</si>
  <si>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</si>
  <si>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</si>
  <si>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</si>
  <si>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</si>
  <si>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</si>
  <si>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</si>
  <si>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</si>
  <si>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</si>
  <si>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</si>
  <si>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</si>
  <si>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</si>
  <si>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</si>
  <si>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</si>
  <si>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</si>
  <si>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</si>
  <si>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</si>
  <si>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</si>
  <si>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</si>
  <si>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9.9x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</si>
  <si>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</si>
  <si>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</si>
  <si>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</si>
  <si>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</si>
  <si>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</si>
  <si>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</si>
  <si>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</si>
  <si>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</si>
  <si>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</si>
  <si>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</si>
  <si>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</si>
  <si>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</si>
  <si>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</si>
  <si>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</si>
  <si>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</si>
  <si>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</si>
  <si>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</si>
  <si>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</si>
  <si>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</si>
  <si>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</si>
  <si>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</si>
  <si>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</si>
  <si>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</si>
  <si>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</si>
  <si>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</si>
  <si>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</si>
  <si>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</si>
  <si>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</si>
  <si>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</si>
  <si>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</si>
  <si>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</si>
  <si>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</si>
  <si>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</si>
  <si>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</si>
  <si>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</si>
  <si>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</si>
  <si>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</si>
  <si>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</si>
  <si>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</si>
  <si>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</si>
  <si>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</si>
  <si>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</si>
  <si>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</si>
  <si>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</si>
  <si>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</si>
  <si>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</si>
  <si>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</si>
  <si>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</si>
  <si>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</si>
  <si>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</si>
  <si>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</si>
  <si>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</si>
  <si>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</si>
  <si>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</si>
  <si>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</si>
  <si>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</si>
  <si>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</si>
  <si>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</si>
  <si>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</si>
  <si>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</si>
  <si>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</si>
  <si>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</si>
  <si>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</si>
  <si>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</si>
  <si>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</si>
  <si>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</si>
  <si>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</si>
  <si>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</si>
  <si>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</si>
  <si>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</si>
  <si>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</si>
  <si>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</si>
  <si>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</si>
  <si>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</si>
  <si>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</si>
  <si>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</si>
  <si>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</si>
  <si>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</si>
  <si>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</si>
  <si>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</si>
  <si>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27.8% of revenue against depreciation of 19.7%.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</si>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</sst>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0.08048856278026917</v>
      </c>
    </row>
    <row r="7" spans="1:2" x14ac:dyDescent="0.25">
      <c r="A7" t="s">
        <v>4</v>
      </c>
      <c r="B7" s="5">
        <v>0.3753281139563883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0.19709028663105982</v>
      </c>
    </row>
    <row r="10" spans="1:3" x14ac:dyDescent="0.25">
      <c r="A10" t="s">
        <v>7</v>
      </c>
      <c r="B10" s="5">
        <v>0.2775680817509719</v>
      </c>
      <c r="C10" s="6" t="s">
        <v>8</v>
      </c>
    </row>
    <row r="11" spans="1:2" x14ac:dyDescent="0.25">
      <c r="A11" t="s">
        <v>9</v>
      </c>
      <c r="B11" s="5">
        <v>0.11022122916217977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4.190376091808469</v>
      </c>
    </row>
    <row r="14" spans="1:3" x14ac:dyDescent="0.25">
      <c r="A14" t="s">
        <v>12</v>
      </c>
      <c r="B14" s="5">
        <v>0.28070668815408795</v>
      </c>
      <c r="C14" s="6" t="s">
        <v>13</v>
      </c>
    </row>
    <row r="15" spans="1:3" x14ac:dyDescent="0.25">
      <c r="A15" t="s">
        <v>14</v>
      </c>
      <c r="B15" s="5">
        <v>0.19709028663105982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0.51894</v>
      </c>
      <c r="C19" s="6" t="s">
        <v>21</v>
      </c>
    </row>
    <row r="20" spans="1:2" x14ac:dyDescent="0.25">
      <c r="A20" t="s">
        <v>22</v>
      </c>
      <c r="B20" s="9">
        <f>B17+B19*B18</f>
        <v>0.07089116200000001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17104160768</v>
      </c>
    </row>
    <row r="23" spans="1:2" x14ac:dyDescent="0.25">
      <c r="A23" t="s">
        <v>26</v>
      </c>
      <c r="B23" s="10">
        <v>4590000000</v>
      </c>
    </row>
    <row r="24" spans="1:2" x14ac:dyDescent="0.25">
      <c r="A24" t="s">
        <v>27</v>
      </c>
      <c r="B24" s="9">
        <f>B22/(B22+B23)</f>
        <v>0.7884223294421933</v>
      </c>
    </row>
    <row r="25" spans="1:2" x14ac:dyDescent="0.25">
      <c r="A25" t="s">
        <v>28</v>
      </c>
      <c r="B25" s="9">
        <f>1-B24</f>
        <v>0.21157767055780674</v>
      </c>
    </row>
    <row r="26" spans="1:2" x14ac:dyDescent="0.25">
      <c r="A26" t="s">
        <v>29</v>
      </c>
      <c r="B26" s="11">
        <f>B24*B20+B25*B21*(1-B8)</f>
        <v>0.06474090336557482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8920000000</v>
      </c>
      <c r="C29" s="6" t="s">
        <v>32</v>
      </c>
    </row>
    <row r="30" spans="1:2" x14ac:dyDescent="0.25">
      <c r="A30" t="s">
        <v>33</v>
      </c>
      <c r="B30" s="10">
        <v>4074000000</v>
      </c>
    </row>
    <row r="31" spans="1:2" x14ac:dyDescent="0.25">
      <c r="A31" t="s">
        <v>34</v>
      </c>
      <c r="B31" s="12">
        <v>359000000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0.08048856278026917</v>
      </c>
      <c r="C5" s="5">
        <v>-0.107706538268182</v>
      </c>
      <c r="D5" s="5">
        <v>-0.09111822098465924</v>
      </c>
      <c r="E5" s="5">
        <v>-0.07452990370113649</v>
      </c>
      <c r="F5" s="5">
        <v>-0.05794158641761375</v>
      </c>
      <c r="G5" s="5">
        <v>-0.041353269134091</v>
      </c>
      <c r="H5" s="5">
        <v>-0.024764951850568248</v>
      </c>
      <c r="I5" s="5">
        <v>-0.00817663456704551</v>
      </c>
      <c r="J5" s="5">
        <v>0.008411682716477242</v>
      </c>
      <c r="K5" s="5">
        <v>0.024999999999999994</v>
      </c>
    </row>
    <row r="6" spans="1:11" x14ac:dyDescent="0.25">
      <c r="A6" t="s">
        <v>50</v>
      </c>
      <c r="B6" s="18">
        <f>Assumptions!B29*(1+B5)</f>
        <v>9637957980.000002</v>
      </c>
      <c r="C6" s="18">
        <f>B6*(1+C5)</f>
        <v>8599886890.000002</v>
      </c>
      <c r="D6" s="18">
        <f>C6*(1+D5)</f>
        <v>7816280495.913908</v>
      </c>
      <c r="E6" s="18">
        <f>D6*(1+E5)</f>
        <v>7233733863.252374</v>
      </c>
      <c r="F6" s="18">
        <f>E6*(1+F5)</f>
        <v>6814599847.492718</v>
      </c>
      <c r="G6" s="18">
        <f>F6*(1+G5)</f>
        <v>6532793865.958216</v>
      </c>
      <c r="H6" s="18">
        <f>G6*(1+H5)</f>
        <v>6371009540.418073</v>
      </c>
      <c r="I6" s="18">
        <f>H6*(1+I5)</f>
        <v>6318916123.582913</v>
      </c>
      <c r="J6" s="18">
        <f>I6*(1+J5)</f>
        <v>6372068841.126526</v>
      </c>
      <c r="K6" s="18">
        <f>J6*(1+K5)</f>
        <v>6531370562.154689</v>
      </c>
    </row>
    <row r="7" spans="1:11" x14ac:dyDescent="0.25">
      <c r="A7" t="s">
        <v>4</v>
      </c>
      <c r="B7" s="9">
        <f>Assumptions!B7</f>
        <v>0.3753281139563883</v>
      </c>
      <c r="C7" s="9">
        <f>Assumptions!B7</f>
        <v>0.3753281139563883</v>
      </c>
      <c r="D7" s="9">
        <f>Assumptions!B7</f>
        <v>0.3753281139563883</v>
      </c>
      <c r="E7" s="9">
        <f>Assumptions!B7</f>
        <v>0.3753281139563883</v>
      </c>
      <c r="F7" s="9">
        <f>Assumptions!B7</f>
        <v>0.3753281139563883</v>
      </c>
      <c r="G7" s="9">
        <f>Assumptions!B7</f>
        <v>0.3753281139563883</v>
      </c>
      <c r="H7" s="9">
        <f>Assumptions!B7</f>
        <v>0.3753281139563883</v>
      </c>
      <c r="I7" s="9">
        <f>Assumptions!B7</f>
        <v>0.3753281139563883</v>
      </c>
      <c r="J7" s="9">
        <f>Assumptions!B7</f>
        <v>0.3753281139563883</v>
      </c>
      <c r="K7" s="9">
        <f>Assumptions!B7</f>
        <v>0.3753281139563883</v>
      </c>
    </row>
    <row r="8" spans="1:11" x14ac:dyDescent="0.25">
      <c r="A8" t="s">
        <v>51</v>
      </c>
      <c r="B8" s="18">
        <f>B6*B7</f>
        <v>3617396591.024323</v>
      </c>
      <c r="C8" s="18">
        <f>C6*C7</f>
        <v>3227779326.6619706</v>
      </c>
      <c r="D8" s="18">
        <f>D6*D7</f>
        <v>2933669816.6854706</v>
      </c>
      <c r="E8" s="18">
        <f>E6*E7</f>
        <v>2715023687.756972</v>
      </c>
      <c r="F8" s="18">
        <f>F6*F7</f>
        <v>2557710908.126933</v>
      </c>
      <c r="G8" s="18">
        <f>G6*G7</f>
        <v>2451941200.5759597</v>
      </c>
      <c r="H8" s="18">
        <f>H6*H7</f>
        <v>2391218994.803272</v>
      </c>
      <c r="I8" s="18">
        <f>I6*I7</f>
        <v>2371666870.912987</v>
      </c>
      <c r="J8" s="18">
        <f>J6*J7</f>
        <v>2391616580.140288</v>
      </c>
      <c r="K8" s="18">
        <f>K6*K7</f>
        <v>2451406994.643795</v>
      </c>
    </row>
    <row r="9" spans="1:11" x14ac:dyDescent="0.25">
      <c r="A9" t="s">
        <v>52</v>
      </c>
      <c r="B9" s="18">
        <f>B8*(1-Assumptions!B8)</f>
        <v>2857743306.9092155</v>
      </c>
      <c r="C9" s="18">
        <f>C8*(1-Assumptions!B8)</f>
        <v>2549945668.062957</v>
      </c>
      <c r="D9" s="18">
        <f>D8*(1-Assumptions!B8)</f>
        <v>2317599155.181522</v>
      </c>
      <c r="E9" s="18">
        <f>E8*(1-Assumptions!B8)</f>
        <v>2144868713.328008</v>
      </c>
      <c r="F9" s="18">
        <f>F8*(1-Assumptions!B8)</f>
        <v>2020591617.4202774</v>
      </c>
      <c r="G9" s="18">
        <f>G8*(1-Assumptions!B8)</f>
        <v>1937033548.4550083</v>
      </c>
      <c r="H9" s="18">
        <f>H8*(1-Assumptions!B8)</f>
        <v>1889063005.894585</v>
      </c>
      <c r="I9" s="18">
        <f>I8*(1-Assumptions!B8)</f>
        <v>1873616828.02126</v>
      </c>
      <c r="J9" s="18">
        <f>J8*(1-Assumptions!B8)</f>
        <v>1889377098.3108275</v>
      </c>
      <c r="K9" s="18">
        <f>K8*(1-Assumptions!B8)</f>
        <v>1936611525.768598</v>
      </c>
    </row>
    <row r="10" spans="1:11" x14ac:dyDescent="0.25">
      <c r="A10" t="s">
        <v>53</v>
      </c>
      <c r="B10" s="18">
        <f>B6*Assumptions!B9</f>
        <v>1899547900.8163106</v>
      </c>
      <c r="C10" s="18">
        <f>C6*Assumptions!B9</f>
        <v>1694954172.144794</v>
      </c>
      <c r="D10" s="18">
        <f>D6*Assumptions!B9</f>
        <v>1540512963.3284345</v>
      </c>
      <c r="E10" s="18">
        <f>E6*Assumptions!B9</f>
        <v>1425698680.521214</v>
      </c>
      <c r="F10" s="18">
        <f>F6*Assumptions!B9</f>
        <v>1343091437.2183163</v>
      </c>
      <c r="G10" s="18">
        <f>G6*Assumptions!B9</f>
        <v>1287550215.543334</v>
      </c>
      <c r="H10" s="18">
        <f>H6*Assumptions!B9</f>
        <v>1255664096.4502146</v>
      </c>
      <c r="I10" s="18">
        <f>I6*Assumptions!B9</f>
        <v>1245396989.9945817</v>
      </c>
      <c r="J10" s="18">
        <f>J6*Assumptions!B9</f>
        <v>1255872874.3304722</v>
      </c>
      <c r="K10" s="18">
        <f>K6*Assumptions!B9</f>
        <v>1287269696.1887338</v>
      </c>
    </row>
    <row r="11" spans="1:11" x14ac:dyDescent="0.25">
      <c r="A11" t="s">
        <v>54</v>
      </c>
      <c r="B11" s="18">
        <f>-B6*B19</f>
        <v>-2675189508.5050726</v>
      </c>
      <c r="C11" s="18">
        <f>-C6*C19</f>
        <v>-2335387508.3582087</v>
      </c>
      <c r="D11" s="18">
        <f>-D6*D19</f>
        <v>-2075632322.8952658</v>
      </c>
      <c r="E11" s="18">
        <f>-E6*E19</f>
        <v>-1877476652.4663692</v>
      </c>
      <c r="F11" s="18">
        <f>-F6*F19</f>
        <v>-1727751766.4909096</v>
      </c>
      <c r="G11" s="18">
        <f>-G6*G19</f>
        <v>-1617055712.905753</v>
      </c>
      <c r="H11" s="18">
        <f>-H6*H19</f>
        <v>-1538733507.8529494</v>
      </c>
      <c r="I11" s="18">
        <f>-I6*I19</f>
        <v>-1488188916.1123295</v>
      </c>
      <c r="J11" s="18">
        <f>-J6*J19</f>
        <v>-1462424826.82259</v>
      </c>
      <c r="K11" s="18">
        <f>-K6*K19</f>
        <v>-1459746128.6620436</v>
      </c>
    </row>
    <row r="12" spans="1:11" x14ac:dyDescent="0.25">
      <c r="A12" t="s">
        <v>55</v>
      </c>
      <c r="B12" s="18">
        <f>-(B6-Assumptions!B29)*Assumptions!B11</f>
        <v>-79134211.04239589</v>
      </c>
      <c r="C12" s="18">
        <f>-(C6-B6)*Assumptions!B11</f>
        <v>114417471.49752374</v>
      </c>
      <c r="D12" s="18">
        <f>-(D6-C6)*Assumptions!B11</f>
        <v>86370059.9355127</v>
      </c>
      <c r="E12" s="18">
        <f>-(E6-D6)*Assumptions!B11</f>
        <v>64209005.89624313</v>
      </c>
      <c r="F12" s="18">
        <f>-(F6-E6)*Assumptions!B11</f>
        <v>46197466.40070971</v>
      </c>
      <c r="G12" s="18">
        <f>-(G6-F6)*Assumptions!B11</f>
        <v>31061001.66998735</v>
      </c>
      <c r="H12" s="18">
        <f>-(H6-G6)*Assumptions!B11</f>
        <v>17832067.220208798</v>
      </c>
      <c r="I12" s="18">
        <f>-(I6-H6)*Assumptions!B11</f>
        <v>5741800.434829047</v>
      </c>
      <c r="J12" s="18">
        <f>-(J6-I6)*Assumptions!B11</f>
        <v>-5858557.860967125</v>
      </c>
      <c r="K12" s="18">
        <f>-(K6-J6)*Assumptions!B11</f>
        <v>-17558431.49937478</v>
      </c>
    </row>
    <row r="13" spans="1:11" x14ac:dyDescent="0.25">
      <c r="A13" s="19" t="s">
        <v>56</v>
      </c>
      <c r="B13" s="20">
        <f>B9+B10+B11+B12</f>
        <v>2002967488.1780574</v>
      </c>
      <c r="C13" s="20">
        <f>C9+C10+C11+C12</f>
        <v>2023929803.347066</v>
      </c>
      <c r="D13" s="20">
        <f>D9+D10+D11+D12</f>
        <v>1868849855.5502033</v>
      </c>
      <c r="E13" s="20">
        <f>E9+E10+E11+E12</f>
        <v>1757299747.2790961</v>
      </c>
      <c r="F13" s="20">
        <f>F9+F10+F11+F12</f>
        <v>1682128754.5483937</v>
      </c>
      <c r="G13" s="20">
        <f>G9+G10+G11+G12</f>
        <v>1638589052.762577</v>
      </c>
      <c r="H13" s="20">
        <f>H9+H10+H11+H12</f>
        <v>1623825661.712059</v>
      </c>
      <c r="I13" s="20">
        <f>I9+I10+I11+I12</f>
        <v>1636566702.338341</v>
      </c>
      <c r="J13" s="20">
        <f>J9+J10+J11+J12</f>
        <v>1676966587.9577425</v>
      </c>
      <c r="K13" s="20">
        <f>K9+K10+K11+K12</f>
        <v>1746576661.7959132</v>
      </c>
    </row>
    <row r="14" spans="1:11" x14ac:dyDescent="0.25">
      <c r="A14" t="s">
        <v>57</v>
      </c>
      <c r="B14" s="21">
        <f>1/(1+Assumptions!$B$26)^(1-0.5*Assumptions!$B$32)</f>
        <v>0.969121058841993</v>
      </c>
      <c r="C14" s="21">
        <f>1/(1+Assumptions!$B$26)^(2-0.5*Assumptions!$B$32)</f>
        <v>0.9101942601985761</v>
      </c>
      <c r="D14" s="21">
        <f>1/(1+Assumptions!$B$26)^(3-0.5*Assumptions!$B$32)</f>
        <v>0.8548504686177765</v>
      </c>
      <c r="E14" s="21">
        <f>1/(1+Assumptions!$B$26)^(4-0.5*Assumptions!$B$32)</f>
        <v>0.8028718216005897</v>
      </c>
      <c r="F14" s="21">
        <f>1/(1+Assumptions!$B$26)^(5-0.5*Assumptions!$B$32)</f>
        <v>0.7540537036407312</v>
      </c>
      <c r="G14" s="21">
        <f>1/(1+Assumptions!$B$26)^(6-0.5*Assumptions!$B$32)</f>
        <v>0.7082039407495456</v>
      </c>
      <c r="H14" s="21">
        <f>1/(1+Assumptions!$B$26)^(7-0.5*Assumptions!$B$32)</f>
        <v>0.6651420439573237</v>
      </c>
      <c r="I14" s="21">
        <f>1/(1+Assumptions!$B$26)^(8-0.5*Assumptions!$B$32)</f>
        <v>0.6246984988130484</v>
      </c>
      <c r="J14" s="21">
        <f>1/(1+Assumptions!$B$26)^(9-0.5*Assumptions!$B$32)</f>
        <v>0.586714098085664</v>
      </c>
      <c r="K14" s="21">
        <f>1/(1+Assumptions!$B$26)^(10-0.5*Assumptions!$B$32)</f>
        <v>0.5510393150400252</v>
      </c>
    </row>
    <row r="15" spans="1:11" x14ac:dyDescent="0.25">
      <c r="A15" s="19" t="s">
        <v>58</v>
      </c>
      <c r="B15" s="20">
        <f>B13*B14</f>
        <v>1941117972.969206</v>
      </c>
      <c r="C15" s="20">
        <f>C13*C14</f>
        <v>1842169290.0513322</v>
      </c>
      <c r="D15" s="20">
        <f>D13*D14</f>
        <v>1597587174.7933552</v>
      </c>
      <c r="E15" s="20">
        <f>E13*E14</f>
        <v>1410886449.1962237</v>
      </c>
      <c r="F15" s="20">
        <f>F13*F14</f>
        <v>1268415417.367787</v>
      </c>
      <c r="G15" s="20">
        <f>G13*G14</f>
        <v>1160455224.4355223</v>
      </c>
      <c r="H15" s="20">
        <f>H13*H14</f>
        <v>1080074719.6615126</v>
      </c>
      <c r="I15" s="20">
        <f>I13*I14</f>
        <v>1022360762.1581826</v>
      </c>
      <c r="J15" s="20">
        <f>J13*J14</f>
        <v>983899939.1734202</v>
      </c>
      <c r="K15" s="20">
        <f>K13*K14</f>
        <v>962432407.3809139</v>
      </c>
    </row>
    <row r="17" spans="1:2" x14ac:dyDescent="0.25">
      <c r="A17" s="22" t="s">
        <v>59</v>
      </c>
      <c r="B17" s="23">
        <f>SUM(B15:K15)</f>
        <v>13269399357.187454</v>
      </c>
    </row>
    <row r="19" spans="1:11" x14ac:dyDescent="0.25">
      <c r="A19" t="s">
        <v>7</v>
      </c>
      <c r="B19" s="9">
        <f>Assumptions!$B$10+($B$20-Assumptions!$B$10)*0/9</f>
        <v>0.2775680817509719</v>
      </c>
      <c r="C19" s="9">
        <f>Assumptions!$B$10+($B$20-Assumptions!$B$10)*1/9</f>
        <v>0.27156025866733324</v>
      </c>
      <c r="D19" s="9">
        <f>Assumptions!$B$10+($B$20-Assumptions!$B$10)*2/9</f>
        <v>0.2655524355836945</v>
      </c>
      <c r="E19" s="9">
        <f>Assumptions!$B$10+($B$20-Assumptions!$B$10)*3/9</f>
        <v>0.25954461250005584</v>
      </c>
      <c r="F19" s="9">
        <f>Assumptions!$B$10+($B$20-Assumptions!$B$10)*4/9</f>
        <v>0.25353678941641716</v>
      </c>
      <c r="G19" s="9">
        <f>Assumptions!$B$10+($B$20-Assumptions!$B$10)*5/9</f>
        <v>0.24752896633277846</v>
      </c>
      <c r="H19" s="9">
        <f>Assumptions!$B$10+($B$20-Assumptions!$B$10)*6/9</f>
        <v>0.24152114324913976</v>
      </c>
      <c r="I19" s="9">
        <f>Assumptions!$B$10+($B$20-Assumptions!$B$10)*7/9</f>
        <v>0.23551332016550106</v>
      </c>
      <c r="J19" s="9">
        <f>Assumptions!$B$10+($B$20-Assumptions!$B$10)*8/9</f>
        <v>0.22950549708186238</v>
      </c>
      <c r="K19" s="9">
        <f>Assumptions!$B$10+($B$20-Assumptions!$B$10)*9/9</f>
        <v>0.22349767399822368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0.22349767399822368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1746576661.7959132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1936611525.768598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0.08906093461612423</v>
      </c>
    </row>
    <row r="7" spans="1:2" x14ac:dyDescent="0.25">
      <c r="A7" t="s">
        <v>66</v>
      </c>
      <c r="B7" s="18">
        <f>-MAX(B5,0)*B6</f>
        <v>-172476432.4733097</v>
      </c>
    </row>
    <row r="8" spans="1:2" x14ac:dyDescent="0.25">
      <c r="A8" t="s">
        <v>67</v>
      </c>
      <c r="B8" s="18">
        <f>IF(OR(Assumptions!$B$33=0,Assumptions!B12&lt;=0),B5,MAX(B5+B7,0))</f>
        <v>1764135093.2952883</v>
      </c>
    </row>
    <row r="9" spans="1:2" x14ac:dyDescent="0.25">
      <c r="A9" t="s">
        <v>68</v>
      </c>
      <c r="B9" s="18">
        <f>B8*(1+Assumptions!B12)/(Assumptions!B26-Assumptions!B12)</f>
        <v>45500688648.00994</v>
      </c>
    </row>
    <row r="10" spans="1:2" x14ac:dyDescent="0.25">
      <c r="A10" t="s">
        <v>69</v>
      </c>
      <c r="B10" s="18">
        <f>B9/(1+Assumptions!B26)^(10-0.5*Assumptions!B32)</f>
        <v>25072668306.44885</v>
      </c>
    </row>
    <row r="11" spans="1:2" x14ac:dyDescent="0.25">
      <c r="A11" t="s">
        <v>70</v>
      </c>
      <c r="B11" s="18">
        <f>Forecast!B17+B10</f>
        <v>38342067663.63631</v>
      </c>
    </row>
    <row r="12" spans="1:2" x14ac:dyDescent="0.25">
      <c r="A12" t="s">
        <v>71</v>
      </c>
      <c r="B12" s="18">
        <f>-Assumptions!B30</f>
        <v>-4074000000</v>
      </c>
    </row>
    <row r="13" spans="1:2" x14ac:dyDescent="0.25">
      <c r="A13" t="s">
        <v>72</v>
      </c>
      <c r="B13" s="18">
        <f>B11+B12</f>
        <v>34268067663.636307</v>
      </c>
    </row>
    <row r="14" spans="1:2" x14ac:dyDescent="0.25">
      <c r="A14" s="19" t="s">
        <v>73</v>
      </c>
      <c r="B14" s="24">
        <f>B13/Assumptions!B31</f>
        <v>95.45422747531005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3738676690.832529</v>
      </c>
    </row>
    <row r="18" spans="1:2" x14ac:dyDescent="0.25">
      <c r="A18" t="s">
        <v>68</v>
      </c>
      <c r="B18" s="18">
        <f>B17*Assumptions!B13</f>
        <v>15666461420.266233</v>
      </c>
    </row>
    <row r="19" spans="1:2" x14ac:dyDescent="0.25">
      <c r="A19" t="s">
        <v>69</v>
      </c>
      <c r="B19" s="18">
        <f>B18/(1+Assumptions!B26)^(10-0.5*Assumptions!B32)</f>
        <v>8632836170.124487</v>
      </c>
    </row>
    <row r="20" spans="1:2" x14ac:dyDescent="0.25">
      <c r="A20" t="s">
        <v>70</v>
      </c>
      <c r="B20" s="18">
        <f>Forecast!B17+B19</f>
        <v>21902235527.311943</v>
      </c>
    </row>
    <row r="21" spans="1:2" x14ac:dyDescent="0.25">
      <c r="A21" t="s">
        <v>71</v>
      </c>
      <c r="B21" s="18">
        <f>-Assumptions!B30</f>
        <v>-4074000000</v>
      </c>
    </row>
    <row r="22" spans="1:2" x14ac:dyDescent="0.25">
      <c r="A22" t="s">
        <v>72</v>
      </c>
      <c r="B22" s="18">
        <f>B20+B21</f>
        <v>17828235527.311943</v>
      </c>
    </row>
    <row r="23" spans="1:2" x14ac:dyDescent="0.25">
      <c r="A23" s="19" t="s">
        <v>73</v>
      </c>
      <c r="B23" s="25">
        <f>B22/Assumptions!B31</f>
        <v>49.660823195854995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48.82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95.45422747531005</v>
      </c>
    </row>
    <row r="29" spans="1:2" x14ac:dyDescent="0.25">
      <c r="A29" s="19" t="s">
        <v>81</v>
      </c>
      <c r="B29" s="11">
        <f>B28/B26-1</f>
        <v>0.9552279286216725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0.044741</v>
      </c>
      <c r="B5" s="31">
        <v>144.51866465258811</v>
      </c>
      <c r="C5" s="31">
        <v>165.45773041059618</v>
      </c>
      <c r="D5" s="31">
        <v>197.1564617100671</v>
      </c>
      <c r="E5" s="31">
        <v>250.56357187587327</v>
      </c>
      <c r="F5" s="31">
        <v>359.1074238065907</v>
      </c>
    </row>
    <row r="6" spans="1:6" x14ac:dyDescent="0.25">
      <c r="A6" s="30">
        <v>0.054741</v>
      </c>
      <c r="B6" s="31">
        <v>106.44529529156384</v>
      </c>
      <c r="C6" s="31">
        <v>116.15739014520038</v>
      </c>
      <c r="D6" s="31">
        <v>129.23097321091782</v>
      </c>
      <c r="E6" s="31">
        <v>147.70405116513246</v>
      </c>
      <c r="F6" s="31">
        <v>175.67937581005575</v>
      </c>
    </row>
    <row r="7" spans="1:6" x14ac:dyDescent="0.25">
      <c r="A7" s="30">
        <v>0.064741</v>
      </c>
      <c r="B7" s="31">
        <v>83.67592319425715</v>
      </c>
      <c r="C7" s="31">
        <v>88.87663806080747</v>
      </c>
      <c r="D7" s="32">
        <v>95.45398303696604</v>
      </c>
      <c r="E7" s="31">
        <v>104.00234088788433</v>
      </c>
      <c r="F7" s="31">
        <v>115.51580035036989</v>
      </c>
    </row>
    <row r="8" spans="1:6" x14ac:dyDescent="0.25">
      <c r="A8" s="30">
        <v>0.074741</v>
      </c>
      <c r="B8" s="31">
        <v>68.52466295319915</v>
      </c>
      <c r="C8" s="31">
        <v>71.5480194929378</v>
      </c>
      <c r="D8" s="31">
        <v>75.23066834816396</v>
      </c>
      <c r="E8" s="31">
        <v>79.79364581069756</v>
      </c>
      <c r="F8" s="31">
        <v>85.56922658700319</v>
      </c>
    </row>
    <row r="9" spans="1:6" x14ac:dyDescent="0.25">
      <c r="A9" s="30">
        <v>0.084741</v>
      </c>
      <c r="B9" s="31">
        <v>57.713977002212566</v>
      </c>
      <c r="C9" s="31">
        <v>59.55996270006355</v>
      </c>
      <c r="D9" s="31">
        <v>61.75559862219223</v>
      </c>
      <c r="E9" s="31">
        <v>64.39669510023616</v>
      </c>
      <c r="F9" s="31">
        <v>67.61758615117779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8920000000</v>
      </c>
      <c r="C5" s="18">
        <v>9737000000</v>
      </c>
      <c r="D5" s="18">
        <v>8279000000</v>
      </c>
      <c r="E5" s="18">
        <v>11075000000</v>
      </c>
      <c r="F5" s="6" t="s">
        <v>91</v>
      </c>
    </row>
    <row r="6" spans="1:6" x14ac:dyDescent="0.25">
      <c r="A6" t="s">
        <v>51</v>
      </c>
      <c r="B6" s="18">
        <v>2750000000</v>
      </c>
      <c r="C6" s="18">
        <v>3199000000</v>
      </c>
      <c r="D6" s="18">
        <v>3358000000</v>
      </c>
      <c r="E6" s="18">
        <v>5082000000</v>
      </c>
      <c r="F6" s="6" t="s">
        <v>92</v>
      </c>
    </row>
    <row r="7" spans="1:6" x14ac:dyDescent="0.25">
      <c r="A7" t="s">
        <v>93</v>
      </c>
      <c r="B7" s="18">
        <v>2304000000</v>
      </c>
      <c r="C7" s="18">
        <v>2266000000</v>
      </c>
      <c r="D7" s="18">
        <v>1540000000</v>
      </c>
      <c r="E7" s="18">
        <v>1233000000</v>
      </c>
      <c r="F7" s="6" t="s">
        <v>94</v>
      </c>
    </row>
    <row r="8" spans="1:6" x14ac:dyDescent="0.25">
      <c r="A8" t="s">
        <v>95</v>
      </c>
      <c r="B8" s="18">
        <v>2766000000</v>
      </c>
      <c r="C8" s="18">
        <v>2911000000</v>
      </c>
      <c r="D8" s="18">
        <v>2357000000</v>
      </c>
      <c r="E8" s="18">
        <v>2398000000</v>
      </c>
      <c r="F8" s="6" t="s">
        <v>96</v>
      </c>
    </row>
    <row r="9" spans="1:6" x14ac:dyDescent="0.25">
      <c r="A9" t="s">
        <v>97</v>
      </c>
      <c r="B9" s="18">
        <v>-292000000</v>
      </c>
      <c r="C9" s="18">
        <v>535000000</v>
      </c>
      <c r="D9" s="18">
        <v>417000000</v>
      </c>
      <c r="E9" s="18">
        <v>-121000000</v>
      </c>
      <c r="F9" s="6" t="s">
        <v>98</v>
      </c>
    </row>
    <row r="10" spans="1:6" x14ac:dyDescent="0.25">
      <c r="A10" t="s">
        <v>99</v>
      </c>
      <c r="B10" s="18">
        <v>4590000000</v>
      </c>
      <c r="C10" s="18">
        <v>6162000000</v>
      </c>
      <c r="D10" s="18">
        <v>5304000000</v>
      </c>
      <c r="E10" s="18">
        <v>5620000000</v>
      </c>
      <c r="F10" s="6" t="s">
        <v>100</v>
      </c>
    </row>
    <row r="11" spans="1:6" x14ac:dyDescent="0.25">
      <c r="A11" t="s">
        <v>101</v>
      </c>
      <c r="B11" s="18">
        <v>516000000</v>
      </c>
      <c r="C11" s="18">
        <v>625000000</v>
      </c>
      <c r="D11" s="18">
        <v>87000000</v>
      </c>
      <c r="E11" s="18">
        <v>245000000</v>
      </c>
      <c r="F11" s="6" t="s">
        <v>102</v>
      </c>
    </row>
    <row r="12" spans="1:6" x14ac:dyDescent="0.25">
      <c r="A12" t="s">
        <v>34</v>
      </c>
      <c r="B12" s="34">
        <v>359000000</v>
      </c>
      <c r="C12" s="34">
        <v>353000000</v>
      </c>
      <c r="D12" s="34">
        <v>309000000</v>
      </c>
      <c r="E12" s="34">
        <v>333000000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