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<sst xmlns="http://schemas.openxmlformats.org/spreadsheetml/2006/main" count="112" uniqueCount="100">
  <si>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APA Corporation (APA)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</si>
  <si>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</si>
  <si>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</si>
  <si>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</si>
  <si>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</si>
  <si>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</si>
  <si>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</si>
  <si>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</si>
  <si>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</si>
  <si>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</si>
  <si>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</si>
  <si>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</si>
  <si>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</si>
  <si>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</si>
  <si>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</si>
  <si>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</si>
  <si>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</si>
  <si>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</si>
  <si>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</si>
  <si>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</si>
  <si>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</si>
  <si>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</si>
  <si>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</si>
  <si>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</si>
  <si>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</si>
  <si>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</si>
  <si>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</si>
  <si>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</si>
  <si>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</si>
  <si>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</si>
  <si>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</si>
  <si>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</si>
  <si>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</si>
  <si>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</si>
  <si>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</si>
  <si>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</si>
  <si>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</si>
  <si>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</si>
  <si>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</si>
  <si>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</si>
  <si>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</si>
  <si>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</si>
  <si>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</si>
  <si>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</si>
  <si>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</si>
  <si>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</si>
  <si>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</si>
  <si>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</si>
  <si>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</si>
  <si>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</si>
  <si>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</si>
  <si>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</si>
  <si>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</si>
  <si>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</si>
  <si>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</si>
  <si>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</si>
  <si>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</si>
  <si>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</si>
  <si>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</si>
  <si>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</si>
  <si>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</si>
  <si>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</si>
  <si>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</si>
  <si>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</si>
  <si>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</si>
  <si>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</si>
  <si>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</si>
  <si>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</si>
  <si>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</si>
  <si>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</si>
  <si>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</si>
  <si>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</si>
  <si>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</si>
  <si>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</si>
  <si>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</si>
  <si>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</si>
  <si>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</si>
  <si>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</si>
  <si>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</si>
  <si>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</si>
  <si>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</si>
  <si>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</si>
  <si>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</si>
  <si>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</si>
  <si>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</si>
  <si>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</si>
  <si>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</si>
  <si>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</si>
  <si>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</si>
  <si>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</si>
  <si>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</si>
  <si>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</si>
  <si>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</si>
  <si>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</si>
  <si>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</si>
  <si>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</si>
  <si>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</si>
  <si>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</si>
  <si>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27.8% of revenue against depreciation of 19.7%.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</si>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</sst>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-0.06959142043384259</v>
      </c>
    </row>
    <row r="7" spans="1:2" x14ac:dyDescent="0.25">
      <c r="A7" t="s">
        <v>5</v>
      </c>
      <c r="B7" s="6">
        <v>0.3753281139563883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0.19709028663105982</v>
      </c>
    </row>
    <row r="10" spans="1:2" x14ac:dyDescent="0.25">
      <c r="A10" t="s">
        <v>8</v>
      </c>
      <c r="B10" s="6">
        <v>0.2775680817509719</v>
      </c>
    </row>
    <row r="11" spans="1:2" x14ac:dyDescent="0.25">
      <c r="A11" t="s">
        <v>9</v>
      </c>
      <c r="B11" s="6">
        <v>0.3574051407588739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3.9165555741986546</v>
      </c>
    </row>
    <row r="14" spans="1:3" x14ac:dyDescent="0.25">
      <c r="A14" t="s">
        <v>12</v>
      </c>
      <c r="B14" s="6">
        <v>0.28070668815408795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0.57522</v>
      </c>
      <c r="C19" s="8" t="s">
        <v>19</v>
      </c>
    </row>
    <row r="20" spans="1:2" x14ac:dyDescent="0.25">
      <c r="A20" t="s">
        <v>20</v>
      </c>
      <c r="B20" s="10">
        <f>B17+B19*B18</f>
        <v>0.0816171</v>
      </c>
    </row>
    <row r="21" spans="1:3" x14ac:dyDescent="0.25">
      <c r="A21" t="s">
        <v>21</v>
      </c>
      <c r="B21" s="6">
        <v>0.05171130952380952</v>
      </c>
      <c r="C21" s="8" t="s">
        <v>22</v>
      </c>
    </row>
    <row r="22" spans="1:2" x14ac:dyDescent="0.25">
      <c r="A22" t="s">
        <v>23</v>
      </c>
      <c r="B22" s="11">
        <v>15720271872</v>
      </c>
    </row>
    <row r="23" spans="1:2" x14ac:dyDescent="0.25">
      <c r="A23" t="s">
        <v>24</v>
      </c>
      <c r="B23" s="11">
        <v>4590000000</v>
      </c>
    </row>
    <row r="24" spans="1:2" x14ac:dyDescent="0.25">
      <c r="A24" t="s">
        <v>25</v>
      </c>
      <c r="B24" s="10">
        <f>B22/(B22+B23)</f>
        <v>0.7740059793917464</v>
      </c>
    </row>
    <row r="25" spans="1:2" x14ac:dyDescent="0.25">
      <c r="A25" t="s">
        <v>26</v>
      </c>
      <c r="B25" s="10">
        <f>1-B24</f>
        <v>0.22599402060825358</v>
      </c>
    </row>
    <row r="26" spans="1:2" x14ac:dyDescent="0.25">
      <c r="A26" t="s">
        <v>27</v>
      </c>
      <c r="B26" s="12">
        <f>B24*B20+B25*B21*(1-B8)</f>
        <v>0.07240441635327495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8920000000</v>
      </c>
      <c r="C29" s="8" t="s">
        <v>30</v>
      </c>
    </row>
    <row r="30" spans="1:2" x14ac:dyDescent="0.25">
      <c r="A30" t="s">
        <v>31</v>
      </c>
      <c r="B30" s="11">
        <v>4074000000</v>
      </c>
    </row>
    <row r="31" spans="1:2" x14ac:dyDescent="0.25">
      <c r="A31" t="s">
        <v>32</v>
      </c>
      <c r="B31" s="13">
        <v>359000000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-0.06959142043384259</v>
      </c>
      <c r="C5" s="10">
        <f>Assumptions!B6</f>
        <v>-0.06959142043384259</v>
      </c>
      <c r="D5" s="10">
        <f>Assumptions!B6</f>
        <v>-0.06959142043384259</v>
      </c>
      <c r="E5" s="10">
        <f>Assumptions!B6</f>
        <v>-0.06959142043384259</v>
      </c>
      <c r="F5" s="10">
        <f>Assumptions!B6</f>
        <v>-0.06959142043384259</v>
      </c>
    </row>
    <row r="6" spans="1:6" x14ac:dyDescent="0.25">
      <c r="A6" t="s">
        <v>43</v>
      </c>
      <c r="B6" s="18">
        <f>Assumptions!B29*(1+B5)</f>
        <v>8299244529.730124</v>
      </c>
      <c r="C6" s="18">
        <f>B6*(1+C5)</f>
        <v>7721688314.3784075</v>
      </c>
      <c r="D6" s="18">
        <f>C6*(1+D5)</f>
        <v>7184325056.433411</v>
      </c>
      <c r="E6" s="18">
        <f>D6*(1+E5)</f>
        <v>6684357670.897763</v>
      </c>
      <c r="F6" s="18">
        <f>E6*(1+F5)</f>
        <v>6219183725.892137</v>
      </c>
    </row>
    <row r="7" spans="1:6" x14ac:dyDescent="0.25">
      <c r="A7" t="s">
        <v>5</v>
      </c>
      <c r="B7" s="10">
        <f>Assumptions!B7</f>
        <v>0.3753281139563883</v>
      </c>
      <c r="C7" s="10">
        <f>Assumptions!B7</f>
        <v>0.3753281139563883</v>
      </c>
      <c r="D7" s="10">
        <f>Assumptions!B7</f>
        <v>0.3753281139563883</v>
      </c>
      <c r="E7" s="10">
        <f>Assumptions!B7</f>
        <v>0.3753281139563883</v>
      </c>
      <c r="F7" s="10">
        <f>Assumptions!B7</f>
        <v>0.3753281139563883</v>
      </c>
    </row>
    <row r="8" spans="1:6" x14ac:dyDescent="0.25">
      <c r="A8" t="s">
        <v>44</v>
      </c>
      <c r="B8" s="18">
        <f>B6*B7</f>
        <v>3114939796.6064806</v>
      </c>
      <c r="C8" s="18">
        <f>C6*C7</f>
        <v>2898166711.594731</v>
      </c>
      <c r="D8" s="18">
        <f>D6*D7</f>
        <v>2696479173.480775</v>
      </c>
      <c r="E8" s="18">
        <f>E6*E7</f>
        <v>2508827357.627974</v>
      </c>
      <c r="F8" s="18">
        <f>F6*F7</f>
        <v>2334234498.1873593</v>
      </c>
    </row>
    <row r="9" spans="1:6" x14ac:dyDescent="0.25">
      <c r="A9" t="s">
        <v>45</v>
      </c>
      <c r="B9" s="18">
        <f>B8*(1-Assumptions!B8)</f>
        <v>2460802439.31912</v>
      </c>
      <c r="C9" s="18">
        <f>C8*(1-Assumptions!B8)</f>
        <v>2289551702.1598372</v>
      </c>
      <c r="D9" s="18">
        <f>D8*(1-Assumptions!B8)</f>
        <v>2130218547.0498123</v>
      </c>
      <c r="E9" s="18">
        <f>E8*(1-Assumptions!B8)</f>
        <v>1981973612.5260997</v>
      </c>
      <c r="F9" s="18">
        <f>F8*(1-Assumptions!B8)</f>
        <v>1844045253.568014</v>
      </c>
    </row>
    <row r="10" spans="1:6" x14ac:dyDescent="0.25">
      <c r="A10" t="s">
        <v>46</v>
      </c>
      <c r="B10" s="18">
        <f>B6*Assumptions!B9</f>
        <v>1635700483.1857655</v>
      </c>
      <c r="C10" s="18">
        <f>C6*Assumptions!B9</f>
        <v>1521869763.1565454</v>
      </c>
      <c r="D10" s="18">
        <f>D6*Assumptions!B9</f>
        <v>1415960684.6231658</v>
      </c>
      <c r="E10" s="18">
        <f>E6*Assumptions!B9</f>
        <v>1317421969.3017635</v>
      </c>
      <c r="F10" s="18">
        <f>F6*Assumptions!B9</f>
        <v>1225740703.1473038</v>
      </c>
    </row>
    <row r="11" spans="1:6" x14ac:dyDescent="0.25">
      <c r="A11" t="s">
        <v>47</v>
      </c>
      <c r="B11" s="18">
        <f>-B6*Assumptions!B10</f>
        <v>-2303605384.0994377</v>
      </c>
      <c r="C11" s="18">
        <f>-C6*Assumptions!B10</f>
        <v>-2143294213.3009105</v>
      </c>
      <c r="D11" s="18">
        <f>-D6*Assumptions!B10</f>
        <v>-1994139324.589665</v>
      </c>
      <c r="E11" s="18">
        <f>-E6*Assumptions!B10</f>
        <v>-1855364336.4484866</v>
      </c>
      <c r="F11" s="18">
        <f>-F6*Assumptions!B10</f>
        <v>-1726246896.8527427</v>
      </c>
    </row>
    <row r="12" spans="1:6" x14ac:dyDescent="0.25">
      <c r="A12" t="s">
        <v>48</v>
      </c>
      <c r="B12" s="18">
        <f>-(B6-Assumptions!B29)*Assumptions!B11</f>
        <v>221861196.22864583</v>
      </c>
      <c r="C12" s="18">
        <f>-(C6-B6)*Assumptions!B11</f>
        <v>206421560.4439429</v>
      </c>
      <c r="D12" s="18">
        <f>-(D6-C6)*Assumptions!B11</f>
        <v>192056390.84447867</v>
      </c>
      <c r="E12" s="18">
        <f>-(E6-D6)*Assumptions!B11</f>
        <v>178690913.80221424</v>
      </c>
      <c r="F12" s="18">
        <f>-(F6-E6)*Assumptions!B11</f>
        <v>166255559.29209667</v>
      </c>
    </row>
    <row r="13" spans="1:6" x14ac:dyDescent="0.25">
      <c r="A13" s="19" t="s">
        <v>49</v>
      </c>
      <c r="B13" s="20">
        <f>B9+B10+B11+B12</f>
        <v>2014758734.6340938</v>
      </c>
      <c r="C13" s="20">
        <f>C9+C10+C11+C12</f>
        <v>1874548812.459415</v>
      </c>
      <c r="D13" s="20">
        <f>D9+D10+D11+D12</f>
        <v>1744096297.927792</v>
      </c>
      <c r="E13" s="20">
        <f>E9+E10+E11+E12</f>
        <v>1622722159.1815908</v>
      </c>
      <c r="F13" s="20">
        <f>F9+F10+F11+F12</f>
        <v>1509794619.1546717</v>
      </c>
    </row>
    <row r="14" spans="1:6" x14ac:dyDescent="0.25">
      <c r="A14" t="s">
        <v>50</v>
      </c>
      <c r="B14" s="21">
        <f>1/(1+Assumptions!$B$26)^(1-0.5*Assumptions!$B$32)</f>
        <v>0.9656521306897519</v>
      </c>
      <c r="C14" s="21">
        <f>1/(1+Assumptions!$B$26)^(2-0.5*Assumptions!$B$32)</f>
        <v>0.9004551976515207</v>
      </c>
      <c r="D14" s="21">
        <f>1/(1+Assumptions!$B$26)^(3-0.5*Assumptions!$B$32)</f>
        <v>0.839660098299045</v>
      </c>
      <c r="E14" s="21">
        <f>1/(1+Assumptions!$B$26)^(4-0.5*Assumptions!$B$32)</f>
        <v>0.7829696385942908</v>
      </c>
      <c r="F14" s="21">
        <f>1/(1+Assumptions!$B$26)^(5-0.5*Assumptions!$B$32)</f>
        <v>0.7301066898407498</v>
      </c>
    </row>
    <row r="15" spans="1:6" x14ac:dyDescent="0.25">
      <c r="A15" s="19" t="s">
        <v>51</v>
      </c>
      <c r="B15" s="20">
        <f>B13*B14</f>
        <v>1945556064.925201</v>
      </c>
      <c r="C15" s="20">
        <f>C13*C14</f>
        <v>1687947221.4305658</v>
      </c>
      <c r="D15" s="20">
        <f>D13*D14</f>
        <v>1464448068.9610503</v>
      </c>
      <c r="E15" s="20">
        <f>E13*E14</f>
        <v>1270542182.5133574</v>
      </c>
      <c r="F15" s="20">
        <f>F13*F14</f>
        <v>1102311151.7303927</v>
      </c>
    </row>
    <row r="17" spans="1:2" x14ac:dyDescent="0.25">
      <c r="A17" s="22" t="s">
        <v>52</v>
      </c>
      <c r="B17" s="23">
        <f>SUM(B15:F15)</f>
        <v>7470804689.560567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1509794619.1546717</v>
      </c>
    </row>
    <row r="5" spans="1:2" x14ac:dyDescent="0.25">
      <c r="A5" t="s">
        <v>56</v>
      </c>
      <c r="B5" s="18">
        <f>IF(Assumptions!$B$33=0,B4,B4-Forecast!F11-Forecast!F10-Forecast!F12)</f>
        <v>1844045253.568014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0.08906093461612423</v>
      </c>
    </row>
    <row r="7" spans="1:2" x14ac:dyDescent="0.25">
      <c r="A7" t="s">
        <v>58</v>
      </c>
      <c r="B7" s="18">
        <f>-MAX(Forecast!F9,0)*B6</f>
        <v>-164232393.75719512</v>
      </c>
    </row>
    <row r="8" spans="1:2" x14ac:dyDescent="0.25">
      <c r="A8" t="s">
        <v>59</v>
      </c>
      <c r="B8" s="18">
        <f>IF(OR(Assumptions!$B$33=0,Assumptions!B12&lt;=0),B5,MAX(B5+B7,0))</f>
        <v>1679812859.8108187</v>
      </c>
    </row>
    <row r="9" spans="1:2" x14ac:dyDescent="0.25">
      <c r="A9" t="s">
        <v>60</v>
      </c>
      <c r="B9" s="18">
        <f>B8*(1+Assumptions!B12)/(Assumptions!B26-Assumptions!B12)</f>
        <v>36321682951.95427</v>
      </c>
    </row>
    <row r="10" spans="1:2" x14ac:dyDescent="0.25">
      <c r="A10" t="s">
        <v>61</v>
      </c>
      <c r="B10" s="18">
        <f>B9/(1+Assumptions!B26)^(5-0.5*Assumptions!B32)</f>
        <v>26518703709.496525</v>
      </c>
    </row>
    <row r="11" spans="1:2" x14ac:dyDescent="0.25">
      <c r="A11" t="s">
        <v>62</v>
      </c>
      <c r="B11" s="18">
        <f>Forecast!B17+B10</f>
        <v>33989508399.05709</v>
      </c>
    </row>
    <row r="12" spans="1:2" x14ac:dyDescent="0.25">
      <c r="A12" t="s">
        <v>63</v>
      </c>
      <c r="B12" s="18">
        <f>-Assumptions!B30</f>
        <v>-4074000000</v>
      </c>
    </row>
    <row r="13" spans="1:2" x14ac:dyDescent="0.25">
      <c r="A13" t="s">
        <v>64</v>
      </c>
      <c r="B13" s="18">
        <f>B11+B12</f>
        <v>29915508399.05709</v>
      </c>
    </row>
    <row r="14" spans="1:2" x14ac:dyDescent="0.25">
      <c r="A14" s="19" t="s">
        <v>65</v>
      </c>
      <c r="B14" s="24">
        <f>B13/Assumptions!B31</f>
        <v>83.33010696116182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3559975201.3346634</v>
      </c>
    </row>
    <row r="18" spans="1:2" x14ac:dyDescent="0.25">
      <c r="A18" t="s">
        <v>60</v>
      </c>
      <c r="B18" s="18">
        <f>B17*Assumptions!B13</f>
        <v>13942840718.796253</v>
      </c>
    </row>
    <row r="19" spans="1:2" x14ac:dyDescent="0.25">
      <c r="A19" t="s">
        <v>61</v>
      </c>
      <c r="B19" s="18">
        <f>B18/(1+Assumptions!B26)^(5-0.5*Assumptions!B32)</f>
        <v>10179761284.177153</v>
      </c>
    </row>
    <row r="20" spans="1:2" x14ac:dyDescent="0.25">
      <c r="A20" t="s">
        <v>62</v>
      </c>
      <c r="B20" s="18">
        <f>Forecast!B17+B19</f>
        <v>17650565973.73772</v>
      </c>
    </row>
    <row r="21" spans="1:2" x14ac:dyDescent="0.25">
      <c r="A21" t="s">
        <v>63</v>
      </c>
      <c r="B21" s="18">
        <f>-Assumptions!B30</f>
        <v>-4074000000</v>
      </c>
    </row>
    <row r="22" spans="1:2" x14ac:dyDescent="0.25">
      <c r="A22" t="s">
        <v>64</v>
      </c>
      <c r="B22" s="18">
        <f>B20+B21</f>
        <v>13576565973.73772</v>
      </c>
    </row>
    <row r="23" spans="1:2" x14ac:dyDescent="0.25">
      <c r="A23" s="19" t="s">
        <v>65</v>
      </c>
      <c r="B23" s="25">
        <f>B22/Assumptions!B31</f>
        <v>37.81773251737527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83.33010696116182</v>
      </c>
    </row>
    <row r="29" spans="1:2" x14ac:dyDescent="0.25">
      <c r="A29" s="19" t="s">
        <v>73</v>
      </c>
      <c r="B29" s="12">
        <f>B28/B26-1</f>
        <v>0.8571452409441012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0.052404</v>
      </c>
      <c r="B5" s="31">
        <v>115.20329812900218</v>
      </c>
      <c r="C5" s="31">
        <v>129.68885930368884</v>
      </c>
      <c r="D5" s="31">
        <v>149.43381862722123</v>
      </c>
      <c r="E5" s="31">
        <v>177.95946570112966</v>
      </c>
      <c r="F5" s="31">
        <v>222.8336192024792</v>
      </c>
    </row>
    <row r="6" spans="1:6" x14ac:dyDescent="0.25">
      <c r="A6" s="30">
        <v>0.062404</v>
      </c>
      <c r="B6" s="31">
        <v>89.18265240737928</v>
      </c>
      <c r="C6" s="31">
        <v>97.29161967140055</v>
      </c>
      <c r="D6" s="31">
        <v>107.54989985841657</v>
      </c>
      <c r="E6" s="31">
        <v>120.95242241679557</v>
      </c>
      <c r="F6" s="31">
        <v>139.22023666672592</v>
      </c>
    </row>
    <row r="7" spans="1:6" x14ac:dyDescent="0.25">
      <c r="A7" s="30">
        <v>0.072404</v>
      </c>
      <c r="B7" s="31">
        <v>72.22980211002655</v>
      </c>
      <c r="C7" s="31">
        <v>77.25713381686619</v>
      </c>
      <c r="D7" s="32">
        <v>83.33090273125633</v>
      </c>
      <c r="E7" s="31">
        <v>90.82127577408326</v>
      </c>
      <c r="F7" s="31">
        <v>100.2963489224229</v>
      </c>
    </row>
    <row r="8" spans="1:6" x14ac:dyDescent="0.25">
      <c r="A8" s="30">
        <v>0.082404</v>
      </c>
      <c r="B8" s="31">
        <v>60.3084908695156</v>
      </c>
      <c r="C8" s="31">
        <v>63.6419135057301</v>
      </c>
      <c r="D8" s="31">
        <v>67.544870407041</v>
      </c>
      <c r="E8" s="31">
        <v>72.18038374687876</v>
      </c>
      <c r="F8" s="31">
        <v>77.78025562164663</v>
      </c>
    </row>
    <row r="9" spans="1:6" x14ac:dyDescent="0.25">
      <c r="A9" s="30">
        <v>0.092404</v>
      </c>
      <c r="B9" s="31">
        <v>51.46830563175003</v>
      </c>
      <c r="C9" s="31">
        <v>53.78600690235256</v>
      </c>
      <c r="D9" s="31">
        <v>56.438440587390694</v>
      </c>
      <c r="E9" s="31">
        <v>59.506066051913734</v>
      </c>
      <c r="F9" s="31">
        <v>63.097375329443246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8920000000</v>
      </c>
      <c r="C5" s="18">
        <v>9737000000</v>
      </c>
      <c r="D5" s="18">
        <v>8279000000</v>
      </c>
      <c r="E5" s="18">
        <v>11075000000</v>
      </c>
      <c r="F5" s="8" t="s">
        <v>84</v>
      </c>
    </row>
    <row r="6" spans="1:6" x14ac:dyDescent="0.25">
      <c r="A6" t="s">
        <v>44</v>
      </c>
      <c r="B6" s="18">
        <v>2750000000</v>
      </c>
      <c r="C6" s="18">
        <v>3199000000</v>
      </c>
      <c r="D6" s="18">
        <v>3358000000</v>
      </c>
      <c r="E6" s="18">
        <v>5082000000</v>
      </c>
      <c r="F6" s="8" t="s">
        <v>85</v>
      </c>
    </row>
    <row r="7" spans="1:6" x14ac:dyDescent="0.25">
      <c r="A7" t="s">
        <v>86</v>
      </c>
      <c r="B7" s="18">
        <v>2304000000</v>
      </c>
      <c r="C7" s="18">
        <v>2266000000</v>
      </c>
      <c r="D7" s="18">
        <v>1540000000</v>
      </c>
      <c r="E7" s="18">
        <v>1233000000</v>
      </c>
      <c r="F7" s="8" t="s">
        <v>87</v>
      </c>
    </row>
    <row r="8" spans="1:6" x14ac:dyDescent="0.25">
      <c r="A8" t="s">
        <v>88</v>
      </c>
      <c r="B8" s="18">
        <v>2766000000</v>
      </c>
      <c r="C8" s="18">
        <v>2911000000</v>
      </c>
      <c r="D8" s="18">
        <v>2357000000</v>
      </c>
      <c r="E8" s="18">
        <v>2398000000</v>
      </c>
      <c r="F8" s="8" t="s">
        <v>89</v>
      </c>
    </row>
    <row r="9" spans="1:6" x14ac:dyDescent="0.25">
      <c r="A9" t="s">
        <v>90</v>
      </c>
      <c r="B9" s="18">
        <v>-292000000</v>
      </c>
      <c r="C9" s="18">
        <v>535000000</v>
      </c>
      <c r="D9" s="18">
        <v>417000000</v>
      </c>
      <c r="E9" s="18">
        <v>-121000000</v>
      </c>
      <c r="F9" s="8" t="s">
        <v>91</v>
      </c>
    </row>
    <row r="10" spans="1:6" x14ac:dyDescent="0.25">
      <c r="A10" t="s">
        <v>92</v>
      </c>
      <c r="B10" s="18">
        <v>4590000000</v>
      </c>
      <c r="C10" s="18">
        <v>6162000000</v>
      </c>
      <c r="D10" s="18">
        <v>5304000000</v>
      </c>
      <c r="E10" s="18">
        <v>5620000000</v>
      </c>
      <c r="F10" s="8" t="s">
        <v>93</v>
      </c>
    </row>
    <row r="11" spans="1:6" x14ac:dyDescent="0.25">
      <c r="A11" t="s">
        <v>94</v>
      </c>
      <c r="B11" s="18">
        <v>516000000</v>
      </c>
      <c r="C11" s="18">
        <v>625000000</v>
      </c>
      <c r="D11" s="18">
        <v>87000000</v>
      </c>
      <c r="E11" s="18">
        <v>245000000</v>
      </c>
      <c r="F11" s="8" t="s">
        <v>95</v>
      </c>
    </row>
    <row r="12" spans="1:6" x14ac:dyDescent="0.25">
      <c r="A12" t="s">
        <v>32</v>
      </c>
      <c r="B12" s="34">
        <v>359000000</v>
      </c>
      <c r="C12" s="34">
        <v>353000000</v>
      </c>
      <c r="D12" s="34">
        <v>309000000</v>
      </c>
      <c r="E12" s="34">
        <v>333000000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