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<sst xmlns="http://schemas.openxmlformats.org/spreadsheetml/2006/main" count="113" uniqueCount="101">
  <si>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APA Group (APA.AX)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</si>
  <si>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</si>
  <si>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</si>
  <si>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</si>
  <si>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</si>
  <si>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</si>
  <si>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</si>
  <si>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</si>
  <si>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</si>
  <si>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</si>
  <si>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</si>
  <si>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</si>
  <si>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</si>
  <si>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</si>
  <si>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</si>
  <si>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</si>
  <si>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</si>
  <si>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</si>
  <si>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</si>
  <si>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</si>
  <si>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</si>
  <si>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</si>
  <si>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</si>
  <si>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</si>
  <si>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</si>
  <si>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</si>
  <si>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</si>
  <si>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</si>
  <si>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</si>
  <si>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</si>
  <si>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</si>
  <si>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</si>
  <si>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</si>
  <si>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</si>
  <si>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</si>
  <si>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</si>
  <si>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</si>
  <si>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</si>
  <si>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</si>
  <si>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</si>
  <si>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</si>
  <si>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</si>
  <si>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</si>
  <si>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</si>
  <si>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</si>
  <si>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</si>
  <si>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</si>
  <si>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</si>
  <si>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</si>
  <si>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</si>
  <si>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</si>
  <si>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</si>
  <si>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</si>
  <si>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</si>
  <si>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</si>
  <si>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</si>
  <si>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</si>
  <si>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</si>
  <si>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</si>
  <si>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</si>
  <si>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</si>
  <si>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</si>
  <si>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</si>
  <si>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</si>
  <si>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</si>
  <si>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</si>
  <si>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</si>
  <si>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</si>
  <si>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</si>
  <si>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</si>
  <si>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</si>
  <si>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</si>
  <si>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</si>
  <si>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</si>
  <si>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</si>
  <si>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</si>
  <si>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</si>
  <si>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</si>
  <si>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</si>
  <si>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</si>
  <si>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</si>
  <si>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</si>
  <si>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</si>
  <si>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</si>
  <si>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</si>
  <si>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</si>
  <si>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</si>
  <si>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</si>
  <si>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</si>
  <si>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</si>
  <si>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</si>
  <si>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</si>
  <si>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</si>
  <si>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</si>
  <si>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</si>
  <si>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</si>
  <si>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</si>
  <si>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</si>
  <si>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1.0%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</si>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</sst>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0.020124945882999068</v>
      </c>
    </row>
    <row r="7" spans="1:2" x14ac:dyDescent="0.25">
      <c r="A7" t="s">
        <v>5</v>
      </c>
      <c r="B7" s="6">
        <v>0.3297691404072765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0.30597691926266024</v>
      </c>
    </row>
    <row r="10" spans="1:2" x14ac:dyDescent="0.25">
      <c r="A10" t="s">
        <v>8</v>
      </c>
      <c r="B10" s="6">
        <v>0.3400473528057964</v>
      </c>
    </row>
    <row r="11" spans="1:2" x14ac:dyDescent="0.25">
      <c r="A11" t="s">
        <v>9</v>
      </c>
      <c r="B11" s="6">
        <v>-0.3433734939759036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12.311210734545455</v>
      </c>
    </row>
    <row r="14" spans="1:3" x14ac:dyDescent="0.25">
      <c r="A14" t="s">
        <v>12</v>
      </c>
      <c r="B14" s="6">
        <v>0.0612852301332928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0.5162599999999999</v>
      </c>
      <c r="C19" s="8" t="s">
        <v>19</v>
      </c>
    </row>
    <row r="20" spans="1:2" x14ac:dyDescent="0.25">
      <c r="A20" t="s">
        <v>20</v>
      </c>
      <c r="B20" s="10">
        <f>B17+B19*B18</f>
        <v>0.08445559999999999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14567663616</v>
      </c>
    </row>
    <row r="23" spans="1:2" x14ac:dyDescent="0.25">
      <c r="A23" t="s">
        <v>24</v>
      </c>
      <c r="B23" s="11">
        <v>14153000000</v>
      </c>
    </row>
    <row r="24" spans="1:2" x14ac:dyDescent="0.25">
      <c r="A24" t="s">
        <v>25</v>
      </c>
      <c r="B24" s="10">
        <f>B22/(B22+B23)</f>
        <v>0.5072189072916998</v>
      </c>
    </row>
    <row r="25" spans="1:2" x14ac:dyDescent="0.25">
      <c r="A25" t="s">
        <v>26</v>
      </c>
      <c r="B25" s="10">
        <f>1-B24</f>
        <v>0.4927810927083002</v>
      </c>
    </row>
    <row r="26" spans="1:2" x14ac:dyDescent="0.25">
      <c r="A26" t="s">
        <v>27</v>
      </c>
      <c r="B26" s="12">
        <f>B24*B20+B25*B21*(1-B8)</f>
        <v>0.0612852301332928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3016000000</v>
      </c>
      <c r="C29" s="8" t="s">
        <v>30</v>
      </c>
    </row>
    <row r="30" spans="1:2" x14ac:dyDescent="0.25">
      <c r="A30" t="s">
        <v>31</v>
      </c>
      <c r="B30" s="11">
        <v>12517000000</v>
      </c>
    </row>
    <row r="31" spans="1:2" x14ac:dyDescent="0.25">
      <c r="A31" t="s">
        <v>32</v>
      </c>
      <c r="B31" s="13">
        <v>1315514000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0.020124945882999068</v>
      </c>
      <c r="C5" s="10">
        <f>Assumptions!B6</f>
        <v>0.020124945882999068</v>
      </c>
      <c r="D5" s="10">
        <f>Assumptions!B6</f>
        <v>0.020124945882999068</v>
      </c>
      <c r="E5" s="10">
        <f>Assumptions!B6</f>
        <v>0.020124945882999068</v>
      </c>
      <c r="F5" s="10">
        <f>Assumptions!B6</f>
        <v>0.020124945882999068</v>
      </c>
    </row>
    <row r="6" spans="1:6" x14ac:dyDescent="0.25">
      <c r="A6" t="s">
        <v>43</v>
      </c>
      <c r="B6" s="18">
        <f>Assumptions!B29*(1+B5)</f>
        <v>3076696836.7831254</v>
      </c>
      <c r="C6" s="18">
        <f>B6*(1+C5)</f>
        <v>3138615194.1217804</v>
      </c>
      <c r="D6" s="18">
        <f>C6*(1+D5)</f>
        <v>3201779655.0510397</v>
      </c>
      <c r="E6" s="18">
        <f>D6*(1+E5)</f>
        <v>3266215297.338229</v>
      </c>
      <c r="F6" s="18">
        <f>E6*(1+F5)</f>
        <v>3331947703.439385</v>
      </c>
    </row>
    <row r="7" spans="1:6" x14ac:dyDescent="0.25">
      <c r="A7" t="s">
        <v>5</v>
      </c>
      <c r="B7" s="10">
        <f>Assumptions!B7</f>
        <v>0.3297691404072765</v>
      </c>
      <c r="C7" s="10">
        <f>Assumptions!B7</f>
        <v>0.3297691404072765</v>
      </c>
      <c r="D7" s="10">
        <f>Assumptions!B7</f>
        <v>0.3297691404072765</v>
      </c>
      <c r="E7" s="10">
        <f>Assumptions!B7</f>
        <v>0.3297691404072765</v>
      </c>
      <c r="F7" s="10">
        <f>Assumptions!B7</f>
        <v>0.3297691404072765</v>
      </c>
    </row>
    <row r="8" spans="1:6" x14ac:dyDescent="0.25">
      <c r="A8" t="s">
        <v>44</v>
      </c>
      <c r="B8" s="18">
        <f>B6*B7</f>
        <v>1014599671.159758</v>
      </c>
      <c r="C8" s="18">
        <f>C6*C7</f>
        <v>1035018434.6347568</v>
      </c>
      <c r="D8" s="18">
        <f>D6*D7</f>
        <v>1055848124.6196877</v>
      </c>
      <c r="E8" s="18">
        <f>E6*E7</f>
        <v>1077097010.9883249</v>
      </c>
      <c r="F8" s="18">
        <f>F6*F7</f>
        <v>1098773530.045205</v>
      </c>
    </row>
    <row r="9" spans="1:6" x14ac:dyDescent="0.25">
      <c r="A9" t="s">
        <v>45</v>
      </c>
      <c r="B9" s="18">
        <f>B8*(1-Assumptions!B8)</f>
        <v>710219769.8118305</v>
      </c>
      <c r="C9" s="18">
        <f>C8*(1-Assumptions!B8)</f>
        <v>724512904.2443297</v>
      </c>
      <c r="D9" s="18">
        <f>D8*(1-Assumptions!B8)</f>
        <v>739093687.2337813</v>
      </c>
      <c r="E9" s="18">
        <f>E8*(1-Assumptions!B8)</f>
        <v>753967907.6918274</v>
      </c>
      <c r="F9" s="18">
        <f>F8*(1-Assumptions!B8)</f>
        <v>769141471.0316435</v>
      </c>
    </row>
    <row r="10" spans="1:6" x14ac:dyDescent="0.25">
      <c r="A10" t="s">
        <v>46</v>
      </c>
      <c r="B10" s="18">
        <f>B6*Assumptions!B9</f>
        <v>941398219.6240726</v>
      </c>
      <c r="C10" s="18">
        <f>C6*Assumptions!B9</f>
        <v>960343807.8483588</v>
      </c>
      <c r="D10" s="18">
        <f>D6*Assumptions!B9</f>
        <v>979670675.0103801</v>
      </c>
      <c r="E10" s="18">
        <f>E6*Assumptions!B9</f>
        <v>999386494.3281251</v>
      </c>
      <c r="F10" s="18">
        <f>F6*Assumptions!B9</f>
        <v>1019499093.4426789</v>
      </c>
    </row>
    <row r="11" spans="1:6" x14ac:dyDescent="0.25">
      <c r="A11" t="s">
        <v>47</v>
      </c>
      <c r="B11" s="18">
        <f>-B6*Assumptions!B10</f>
        <v>-1046222614.7340692</v>
      </c>
      <c r="C11" s="18">
        <f>-C6*Assumptions!B10</f>
        <v>-1067277788.2371622</v>
      </c>
      <c r="D11" s="18">
        <f>-D6*Assumptions!B10</f>
        <v>-1088756695.967562</v>
      </c>
      <c r="E11" s="18">
        <f>-E6*Assumptions!B10</f>
        <v>-1110667865.553662</v>
      </c>
      <c r="F11" s="18">
        <f>-F6*Assumptions!B10</f>
        <v>-1133019996.2419157</v>
      </c>
    </row>
    <row r="12" spans="1:6" x14ac:dyDescent="0.25">
      <c r="A12" t="s">
        <v>48</v>
      </c>
      <c r="B12" s="18">
        <f>-(B6-Assumptions!B29)*Assumptions!B11</f>
        <v>20841684.919506915</v>
      </c>
      <c r="C12" s="18">
        <f>-(C6-B6)*Assumptions!B11</f>
        <v>21261122.7006225</v>
      </c>
      <c r="D12" s="18">
        <f>-(D6-C6)*Assumptions!B11</f>
        <v>21689001.644384217</v>
      </c>
      <c r="E12" s="18">
        <f>-(E6-D6)*Assumptions!B11</f>
        <v>22125491.62873374</v>
      </c>
      <c r="F12" s="18">
        <f>-(F6-E6)*Assumptions!B11</f>
        <v>22570765.95039686</v>
      </c>
    </row>
    <row r="13" spans="1:6" x14ac:dyDescent="0.25">
      <c r="A13" s="19" t="s">
        <v>49</v>
      </c>
      <c r="B13" s="20">
        <f>B9+B10+B11+B12</f>
        <v>626237059.6213408</v>
      </c>
      <c r="C13" s="20">
        <f>C9+C10+C11+C12</f>
        <v>638840046.5561488</v>
      </c>
      <c r="D13" s="20">
        <f>D9+D10+D11+D12</f>
        <v>651696667.9209839</v>
      </c>
      <c r="E13" s="20">
        <f>E9+E10+E11+E12</f>
        <v>664812028.0950242</v>
      </c>
      <c r="F13" s="20">
        <f>F9+F10+F11+F12</f>
        <v>678191334.1828035</v>
      </c>
    </row>
    <row r="14" spans="1:6" x14ac:dyDescent="0.25">
      <c r="A14" t="s">
        <v>50</v>
      </c>
      <c r="B14" s="21">
        <f>1/(1+Assumptions!$B$26)^(1-0.5*Assumptions!$B$32)</f>
        <v>0.9706975643264466</v>
      </c>
      <c r="C14" s="21">
        <f>1/(1+Assumptions!$B$26)^(2-0.5*Assumptions!$B$32)</f>
        <v>0.9146434311580227</v>
      </c>
      <c r="D14" s="21">
        <f>1/(1+Assumptions!$B$26)^(3-0.5*Assumptions!$B$32)</f>
        <v>0.8618262133386585</v>
      </c>
      <c r="E14" s="21">
        <f>1/(1+Assumptions!$B$26)^(4-0.5*Assumptions!$B$32)</f>
        <v>0.812058991182245</v>
      </c>
      <c r="F14" s="21">
        <f>1/(1+Assumptions!$B$26)^(5-0.5*Assumptions!$B$32)</f>
        <v>0.7651656389114676</v>
      </c>
    </row>
    <row r="15" spans="1:6" x14ac:dyDescent="0.25">
      <c r="A15" s="19" t="s">
        <v>51</v>
      </c>
      <c r="B15" s="20">
        <f>B13*B14</f>
        <v>607886788.4653912</v>
      </c>
      <c r="C15" s="20">
        <f>C13*C14</f>
        <v>584310852.1432669</v>
      </c>
      <c r="D15" s="20">
        <f>D13*D14</f>
        <v>561649271.5597627</v>
      </c>
      <c r="E15" s="20">
        <f>E13*E14</f>
        <v>539866584.8606677</v>
      </c>
      <c r="F15" s="20">
        <f>F13*F14</f>
        <v>518928705.5242055</v>
      </c>
    </row>
    <row r="17" spans="1:2" x14ac:dyDescent="0.25">
      <c r="A17" s="22" t="s">
        <v>52</v>
      </c>
      <c r="B17" s="23">
        <f>SUM(B15:F15)</f>
        <v>2812642202.553294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678191334.1828035</v>
      </c>
    </row>
    <row r="5" spans="1:2" x14ac:dyDescent="0.25">
      <c r="A5" t="s">
        <v>56</v>
      </c>
      <c r="B5" s="18">
        <f>IF(Assumptions!$B$33=0,B4,B4-Forecast!F11-Forecast!F10-Forecast!F12)</f>
        <v>769141471.0316435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0.4079286305301628</v>
      </c>
    </row>
    <row r="7" spans="1:2" x14ac:dyDescent="0.25">
      <c r="A7" t="s">
        <v>58</v>
      </c>
      <c r="B7" s="18">
        <f>-MAX(Forecast!F9,0)*B6</f>
        <v>-313754826.96189326</v>
      </c>
    </row>
    <row r="8" spans="1:2" x14ac:dyDescent="0.25">
      <c r="A8" t="s">
        <v>59</v>
      </c>
      <c r="B8" s="18">
        <f>IF(OR(Assumptions!$B$33=0,Assumptions!B12&lt;=0),B5,MAX(B5+B7,0))</f>
        <v>455386644.06975025</v>
      </c>
    </row>
    <row r="9" spans="1:2" x14ac:dyDescent="0.25">
      <c r="A9" t="s">
        <v>60</v>
      </c>
      <c r="B9" s="18">
        <f>B8*(1+Assumptions!B12)/(Assumptions!B26-Assumptions!B12)</f>
        <v>12863947905.43762</v>
      </c>
    </row>
    <row r="10" spans="1:2" x14ac:dyDescent="0.25">
      <c r="A10" t="s">
        <v>61</v>
      </c>
      <c r="B10" s="18">
        <f>B9/(1+Assumptions!B26)^(5-0.5*Assumptions!B32)</f>
        <v>9843050917.988012</v>
      </c>
    </row>
    <row r="11" spans="1:2" x14ac:dyDescent="0.25">
      <c r="A11" t="s">
        <v>62</v>
      </c>
      <c r="B11" s="18">
        <f>Forecast!B17+B10</f>
        <v>12655693120.541306</v>
      </c>
    </row>
    <row r="12" spans="1:2" x14ac:dyDescent="0.25">
      <c r="A12" t="s">
        <v>63</v>
      </c>
      <c r="B12" s="18">
        <f>-Assumptions!B30</f>
        <v>-12517000000</v>
      </c>
    </row>
    <row r="13" spans="1:2" x14ac:dyDescent="0.25">
      <c r="A13" t="s">
        <v>64</v>
      </c>
      <c r="B13" s="18">
        <f>B11+B12</f>
        <v>138693120.54130554</v>
      </c>
    </row>
    <row r="14" spans="1:2" x14ac:dyDescent="0.25">
      <c r="A14" s="19" t="s">
        <v>65</v>
      </c>
      <c r="B14" s="24">
        <f>B13/Assumptions!B31</f>
        <v>0.10542884419421271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2118272623.487884</v>
      </c>
    </row>
    <row r="18" spans="1:2" x14ac:dyDescent="0.25">
      <c r="A18" t="s">
        <v>60</v>
      </c>
      <c r="B18" s="18">
        <f>B17*Assumptions!B13</f>
        <v>26078500660.9778</v>
      </c>
    </row>
    <row r="19" spans="1:2" x14ac:dyDescent="0.25">
      <c r="A19" t="s">
        <v>61</v>
      </c>
      <c r="B19" s="18">
        <f>B18/(1+Assumptions!B26)^(5-0.5*Assumptions!B32)</f>
        <v>19954372620.110207</v>
      </c>
    </row>
    <row r="20" spans="1:2" x14ac:dyDescent="0.25">
      <c r="A20" t="s">
        <v>62</v>
      </c>
      <c r="B20" s="18">
        <f>Forecast!B17+B19</f>
        <v>22767014822.6635</v>
      </c>
    </row>
    <row r="21" spans="1:2" x14ac:dyDescent="0.25">
      <c r="A21" t="s">
        <v>63</v>
      </c>
      <c r="B21" s="18">
        <f>-Assumptions!B30</f>
        <v>-12517000000</v>
      </c>
    </row>
    <row r="22" spans="1:2" x14ac:dyDescent="0.25">
      <c r="A22" t="s">
        <v>64</v>
      </c>
      <c r="B22" s="18">
        <f>B20+B21</f>
        <v>10250014822.663502</v>
      </c>
    </row>
    <row r="23" spans="1:2" x14ac:dyDescent="0.25">
      <c r="A23" s="19" t="s">
        <v>65</v>
      </c>
      <c r="B23" s="25">
        <f>B22/Assumptions!B31</f>
        <v>7.791642523502982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10.93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0.10542884419421271</v>
      </c>
    </row>
    <row r="29" spans="1:2" x14ac:dyDescent="0.25">
      <c r="A29" s="19" t="s">
        <v>73</v>
      </c>
      <c r="B29" s="12">
        <f>B28/B26-1</f>
        <v>-0.9903541771094041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0.041285</v>
      </c>
      <c r="B5" s="31">
        <v>5.483102149143151</v>
      </c>
      <c r="C5" s="31">
        <v>6.050525008300404</v>
      </c>
      <c r="D5" s="31">
        <v>6.934253064225511</v>
      </c>
      <c r="E5" s="31">
        <v>8.554718567828331</v>
      </c>
      <c r="F5" s="31">
        <v>12.670244783256159</v>
      </c>
    </row>
    <row r="6" spans="1:6" x14ac:dyDescent="0.25">
      <c r="A6" s="30">
        <v>0.051285</v>
      </c>
      <c r="B6" s="31">
        <v>1.9123217282366671</v>
      </c>
      <c r="C6" s="31">
        <v>1.957836072849608</v>
      </c>
      <c r="D6" s="31">
        <v>2.0033504174625474</v>
      </c>
      <c r="E6" s="31">
        <v>2.048864762075488</v>
      </c>
      <c r="F6" s="31">
        <v>2.094379106688428</v>
      </c>
    </row>
    <row r="7" spans="1:6" x14ac:dyDescent="0.25">
      <c r="A7" s="30">
        <v>0.061285</v>
      </c>
      <c r="B7" s="31">
        <v>0.032467115174029525</v>
      </c>
      <c r="C7" s="31">
        <v>0.0689662399891521</v>
      </c>
      <c r="D7" s="32">
        <v>0.1054653648042689</v>
      </c>
      <c r="E7" s="31">
        <v>0.14196448961938857</v>
      </c>
      <c r="F7" s="31">
        <v>0.17846361443450826</v>
      </c>
    </row>
    <row r="8" spans="1:6" x14ac:dyDescent="0.25">
      <c r="A8" s="30">
        <v>0.071285</v>
      </c>
      <c r="B8" s="31">
        <v>-1.3179764159383898</v>
      </c>
      <c r="C8" s="31">
        <v>-1.2878941880771255</v>
      </c>
      <c r="D8" s="31">
        <v>-1.257811960215861</v>
      </c>
      <c r="E8" s="31">
        <v>-1.2277297323545968</v>
      </c>
      <c r="F8" s="31">
        <v>-1.197647504493334</v>
      </c>
    </row>
    <row r="9" spans="1:6" x14ac:dyDescent="0.25">
      <c r="A9" s="30">
        <v>0.081285</v>
      </c>
      <c r="B9" s="31">
        <v>-2.334504932980124</v>
      </c>
      <c r="C9" s="31">
        <v>-2.3092038246570015</v>
      </c>
      <c r="D9" s="31">
        <v>-2.2839027163338788</v>
      </c>
      <c r="E9" s="31">
        <v>-2.258601608010758</v>
      </c>
      <c r="F9" s="31">
        <v>-2.233300499687638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3016000000</v>
      </c>
      <c r="C5" s="18">
        <v>3182000000</v>
      </c>
      <c r="D5" s="18">
        <v>3030000000</v>
      </c>
      <c r="E5" s="18">
        <v>2841000000</v>
      </c>
      <c r="F5" s="8" t="s">
        <v>84</v>
      </c>
    </row>
    <row r="6" spans="1:6" x14ac:dyDescent="0.25">
      <c r="A6" t="s">
        <v>44</v>
      </c>
      <c r="B6" s="18">
        <v>1158000000</v>
      </c>
      <c r="C6" s="18">
        <v>1038000000</v>
      </c>
      <c r="D6" s="18">
        <v>915000000</v>
      </c>
      <c r="E6" s="18">
        <v>872000000</v>
      </c>
      <c r="F6" s="8" t="s">
        <v>85</v>
      </c>
    </row>
    <row r="7" spans="1:6" x14ac:dyDescent="0.25">
      <c r="A7" t="s">
        <v>86</v>
      </c>
      <c r="B7" s="18">
        <v>1042000000</v>
      </c>
      <c r="C7" s="18">
        <v>990000000</v>
      </c>
      <c r="D7" s="18">
        <v>919000000</v>
      </c>
      <c r="E7" s="18">
        <v>750000000</v>
      </c>
      <c r="F7" s="8" t="s">
        <v>87</v>
      </c>
    </row>
    <row r="8" spans="1:6" x14ac:dyDescent="0.25">
      <c r="A8" t="s">
        <v>88</v>
      </c>
      <c r="B8" s="18">
        <v>845000000</v>
      </c>
      <c r="C8" s="18">
        <v>964000000</v>
      </c>
      <c r="D8" s="18">
        <v>1096000000</v>
      </c>
      <c r="E8" s="18">
        <v>1180000000</v>
      </c>
      <c r="F8" s="8" t="s">
        <v>89</v>
      </c>
    </row>
    <row r="9" spans="1:6" x14ac:dyDescent="0.25">
      <c r="A9" t="s">
        <v>90</v>
      </c>
      <c r="B9" s="18">
        <v>57000000</v>
      </c>
      <c r="C9" s="18">
        <v>-195000000</v>
      </c>
      <c r="D9" s="18">
        <v>38000000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14153000000</v>
      </c>
      <c r="C10" s="18">
        <v>14019000000</v>
      </c>
      <c r="D10" s="18">
        <v>12992000000</v>
      </c>
      <c r="E10" s="18">
        <v>11586000000</v>
      </c>
      <c r="F10" s="8" t="s">
        <v>93</v>
      </c>
    </row>
    <row r="11" spans="1:6" x14ac:dyDescent="0.25">
      <c r="A11" t="s">
        <v>94</v>
      </c>
      <c r="B11" s="18">
        <v>1636000000</v>
      </c>
      <c r="C11" s="18">
        <v>800000000</v>
      </c>
      <c r="D11" s="18">
        <v>676000000</v>
      </c>
      <c r="E11" s="18">
        <v>513000000</v>
      </c>
      <c r="F11" s="8" t="s">
        <v>95</v>
      </c>
    </row>
    <row r="12" spans="1:6" x14ac:dyDescent="0.25">
      <c r="A12" t="s">
        <v>32</v>
      </c>
      <c r="B12" s="34">
        <v>1315514000</v>
      </c>
      <c r="C12" s="34">
        <v>1295153000</v>
      </c>
      <c r="D12" s="34">
        <v>1264628000</v>
      </c>
      <c r="E12" s="34">
        <v>1179894000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2026-09-19T01:04:03Z</dcterms:modified>
</cp:coreProperties>
</file>