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<sst xmlns="http://schemas.openxmlformats.org/spreadsheetml/2006/main" count="122" uniqueCount="109">
  <si>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Air Products and Chemicals, Inc. (APD)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</si>
  <si>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</si>
  <si>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</si>
  <si>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</si>
  <si>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</si>
  <si>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</si>
  <si>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</si>
  <si>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</si>
  <si>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</si>
  <si>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</si>
  <si>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</si>
  <si>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</si>
  <si>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</si>
  <si>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</si>
  <si>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</si>
  <si>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</si>
  <si>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</si>
  <si>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</si>
  <si>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</si>
  <si>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</si>
  <si>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</si>
  <si>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</si>
  <si>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</si>
  <si>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</si>
  <si>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13.5x interest cover. Book interest / average debt was lower, at 1.3%.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</si>
  <si>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</si>
  <si>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</si>
  <si>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</si>
  <si>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</si>
  <si>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</si>
  <si>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</si>
  <si>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</si>
  <si>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</si>
  <si>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</si>
  <si>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</si>
  <si>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</si>
  <si>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</si>
  <si>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</si>
  <si>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</si>
  <si>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</si>
  <si>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</si>
  <si>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</si>
  <si>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</si>
  <si>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</si>
  <si>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</si>
  <si>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</si>
  <si>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</si>
  <si>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</si>
  <si>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</si>
  <si>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</si>
  <si>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</si>
  <si>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</si>
  <si>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</si>
  <si>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</si>
  <si>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</si>
  <si>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</si>
  <si>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</si>
  <si>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</si>
  <si>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</si>
  <si>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</si>
  <si>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</si>
  <si>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</si>
  <si>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</si>
  <si>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</si>
  <si>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</si>
  <si>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</si>
  <si>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</si>
  <si>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</si>
  <si>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</si>
  <si>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</si>
  <si>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</si>
  <si>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</si>
  <si>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</si>
  <si>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</si>
  <si>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</si>
  <si>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</si>
  <si>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</si>
  <si>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</si>
  <si>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</si>
  <si>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</si>
  <si>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</si>
  <si>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</si>
  <si>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</si>
  <si>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</si>
  <si>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</si>
  <si>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</si>
  <si>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</si>
  <si>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</si>
  <si>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</si>
  <si>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</si>
  <si>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</si>
  <si>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</si>
  <si>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</si>
  <si>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</si>
  <si>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</si>
  <si>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</si>
  <si>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</si>
  <si>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</si>
  <si>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</si>
  <si>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</si>
  <si>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</si>
  <si>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</si>
  <si>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</si>
  <si>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</si>
  <si>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</si>
  <si>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9.3%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</si>
  <si>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</si>
  <si>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43.6% of revenue against depreciation of 11.6%.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</si>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</sst>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0.06058767414619548</v>
      </c>
    </row>
    <row r="7" spans="1:2" x14ac:dyDescent="0.25">
      <c r="A7" t="s">
        <v>4</v>
      </c>
      <c r="B7" s="5">
        <v>0.2227413371505276</v>
      </c>
    </row>
    <row r="8" spans="1:2" x14ac:dyDescent="0.25">
      <c r="A8" t="s">
        <v>5</v>
      </c>
      <c r="B8" s="5">
        <v>0.19122953094643352</v>
      </c>
    </row>
    <row r="9" spans="1:2" x14ac:dyDescent="0.25">
      <c r="A9" t="s">
        <v>6</v>
      </c>
      <c r="B9" s="5">
        <v>0.11576226014524406</v>
      </c>
    </row>
    <row r="10" spans="1:3" x14ac:dyDescent="0.25">
      <c r="A10" t="s">
        <v>7</v>
      </c>
      <c r="B10" s="5">
        <v>0.4356798063880647</v>
      </c>
      <c r="C10" s="6" t="s">
        <v>8</v>
      </c>
    </row>
    <row r="11" spans="1:2" x14ac:dyDescent="0.25">
      <c r="A11" t="s">
        <v>9</v>
      </c>
      <c r="B11" s="5">
        <v>0.09371269376602175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19.519785617533458</v>
      </c>
    </row>
    <row r="14" spans="1:3" x14ac:dyDescent="0.25">
      <c r="A14" t="s">
        <v>12</v>
      </c>
      <c r="B14" s="5">
        <v>0.08311797653771678</v>
      </c>
      <c r="C14" s="6" t="s">
        <v>13</v>
      </c>
    </row>
    <row r="15" spans="1:3" x14ac:dyDescent="0.25">
      <c r="A15" t="s">
        <v>14</v>
      </c>
      <c r="B15" s="5">
        <v>0.1129930533746078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0.77823</v>
      </c>
      <c r="C19" s="6" t="s">
        <v>21</v>
      </c>
    </row>
    <row r="20" spans="1:2" x14ac:dyDescent="0.25">
      <c r="A20" t="s">
        <v>22</v>
      </c>
      <c r="B20" s="9">
        <f>B17+B19*B18</f>
        <v>0.081859129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70375309312</v>
      </c>
    </row>
    <row r="23" spans="1:2" x14ac:dyDescent="0.25">
      <c r="A23" t="s">
        <v>26</v>
      </c>
      <c r="B23" s="10">
        <v>18406200000</v>
      </c>
    </row>
    <row r="24" spans="1:2" x14ac:dyDescent="0.25">
      <c r="A24" t="s">
        <v>27</v>
      </c>
      <c r="B24" s="9">
        <f>B22/(B22+B23)</f>
        <v>0.7926798030058703</v>
      </c>
    </row>
    <row r="25" spans="1:2" x14ac:dyDescent="0.25">
      <c r="A25" t="s">
        <v>28</v>
      </c>
      <c r="B25" s="9">
        <f>1-B24</f>
        <v>0.20732019699412974</v>
      </c>
    </row>
    <row r="26" spans="1:2" x14ac:dyDescent="0.25">
      <c r="A26" t="s">
        <v>29</v>
      </c>
      <c r="B26" s="11">
        <f>B24*B20+B25*B21*(1-B8)</f>
        <v>0.07376476379003677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12037300000</v>
      </c>
      <c r="C29" s="6" t="s">
        <v>32</v>
      </c>
    </row>
    <row r="30" spans="1:2" x14ac:dyDescent="0.25">
      <c r="A30" t="s">
        <v>33</v>
      </c>
      <c r="B30" s="10">
        <v>16550200000</v>
      </c>
    </row>
    <row r="31" spans="1:2" x14ac:dyDescent="0.25">
      <c r="A31" t="s">
        <v>34</v>
      </c>
      <c r="B31" s="12">
        <v>222700000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0.06058767414619548</v>
      </c>
      <c r="C5" s="5">
        <v>0.05698092097027696</v>
      </c>
      <c r="D5" s="5">
        <v>0.05298330584899234</v>
      </c>
      <c r="E5" s="5">
        <v>0.04898569072770772</v>
      </c>
      <c r="F5" s="5">
        <v>0.0449880756064231</v>
      </c>
      <c r="G5" s="5">
        <v>0.04099046048513848</v>
      </c>
      <c r="H5" s="5">
        <v>0.03699284536385386</v>
      </c>
      <c r="I5" s="5">
        <v>0.03299523024256924</v>
      </c>
      <c r="J5" s="5">
        <v>0.028997615121284622</v>
      </c>
      <c r="K5" s="5">
        <v>0.025</v>
      </c>
    </row>
    <row r="6" spans="1:11" x14ac:dyDescent="0.25">
      <c r="A6" t="s">
        <v>50</v>
      </c>
      <c r="B6" s="18">
        <f>Assumptions!B29*(1+B5)</f>
        <v>12766612009.999998</v>
      </c>
      <c r="C6" s="18">
        <f>B6*(1+C5)</f>
        <v>13494065319.999996</v>
      </c>
      <c r="D6" s="18">
        <f>C6*(1+D5)</f>
        <v>14209025509.995836</v>
      </c>
      <c r="E6" s="18">
        <f>D6*(1+E5)</f>
        <v>14905064439.170603</v>
      </c>
      <c r="F6" s="18">
        <f>E6*(1+F5)</f>
        <v>15575614605.078619</v>
      </c>
      <c r="G6" s="18">
        <f>F6*(1+G5)</f>
        <v>16214066220.079842</v>
      </c>
      <c r="H6" s="18">
        <f>G6*(1+H5)</f>
        <v>16813870664.478542</v>
      </c>
      <c r="I6" s="18">
        <f>H6*(1+I5)</f>
        <v>17368648198.321793</v>
      </c>
      <c r="J6" s="18">
        <f>I6*(1+J5)</f>
        <v>17872297573.95372</v>
      </c>
      <c r="K6" s="18">
        <f>J6*(1+K5)</f>
        <v>18319105013.302563</v>
      </c>
    </row>
    <row r="7" spans="1:11" x14ac:dyDescent="0.25">
      <c r="A7" t="s">
        <v>4</v>
      </c>
      <c r="B7" s="9">
        <f>Assumptions!B7</f>
        <v>0.2227413371505276</v>
      </c>
      <c r="C7" s="9">
        <f>Assumptions!B7</f>
        <v>0.2227413371505276</v>
      </c>
      <c r="D7" s="9">
        <f>Assumptions!B7</f>
        <v>0.2227413371505276</v>
      </c>
      <c r="E7" s="9">
        <f>Assumptions!B7</f>
        <v>0.2227413371505276</v>
      </c>
      <c r="F7" s="9">
        <f>Assumptions!B7</f>
        <v>0.2227413371505276</v>
      </c>
      <c r="G7" s="9">
        <f>Assumptions!B7</f>
        <v>0.2227413371505276</v>
      </c>
      <c r="H7" s="9">
        <f>Assumptions!B7</f>
        <v>0.2227413371505276</v>
      </c>
      <c r="I7" s="9">
        <f>Assumptions!B7</f>
        <v>0.2227413371505276</v>
      </c>
      <c r="J7" s="9">
        <f>Assumptions!B7</f>
        <v>0.2227413371505276</v>
      </c>
      <c r="K7" s="9">
        <f>Assumptions!B7</f>
        <v>0.2227413371505276</v>
      </c>
    </row>
    <row r="8" spans="1:11" x14ac:dyDescent="0.25">
      <c r="A8" t="s">
        <v>51</v>
      </c>
      <c r="B8" s="18">
        <f>B6*B7</f>
        <v>2843652229.9893847</v>
      </c>
      <c r="C8" s="18">
        <f>C6*C7</f>
        <v>3005686152.9733615</v>
      </c>
      <c r="D8" s="18">
        <f>D6*D7</f>
        <v>3164937341.70243</v>
      </c>
      <c r="E8" s="18">
        <f>E6*E7</f>
        <v>3319973983.495639</v>
      </c>
      <c r="F8" s="18">
        <f>F6*F7</f>
        <v>3469333224.0764985</v>
      </c>
      <c r="G8" s="18">
        <f>G6*G7</f>
        <v>3611542790.507785</v>
      </c>
      <c r="H8" s="18">
        <f>H6*H7</f>
        <v>3745144034.4819803</v>
      </c>
      <c r="I8" s="18">
        <f>I6*I7</f>
        <v>3868715924.191298</v>
      </c>
      <c r="J8" s="18">
        <f>J6*J7</f>
        <v>3980899459.574582</v>
      </c>
      <c r="K8" s="18">
        <f>K6*K7</f>
        <v>4080421946.0639467</v>
      </c>
    </row>
    <row r="9" spans="1:11" x14ac:dyDescent="0.25">
      <c r="A9" t="s">
        <v>52</v>
      </c>
      <c r="B9" s="18">
        <f>B8*(1-Assumptions!B8)</f>
        <v>2299861947.873735</v>
      </c>
      <c r="C9" s="18">
        <f>C8*(1-Assumptions!B8)</f>
        <v>2430910199.768075</v>
      </c>
      <c r="D9" s="18">
        <f>D8*(1-Assumptions!B8)</f>
        <v>2559707858.3738217</v>
      </c>
      <c r="E9" s="18">
        <f>E8*(1-Assumptions!B8)</f>
        <v>2685096915.877405</v>
      </c>
      <c r="F9" s="18">
        <f>F8*(1-Assumptions!B8)</f>
        <v>2805894258.9394717</v>
      </c>
      <c r="G9" s="18">
        <f>G8*(1-Assumptions!B8)</f>
        <v>2920909156.6860075</v>
      </c>
      <c r="H9" s="18">
        <f>H8*(1-Assumptions!B8)</f>
        <v>3028961897.4411573</v>
      </c>
      <c r="I9" s="18">
        <f>I8*(1-Assumptions!B8)</f>
        <v>3128903192.643198</v>
      </c>
      <c r="J9" s="18">
        <f>J8*(1-Assumptions!B8)</f>
        <v>3219633923.175224</v>
      </c>
      <c r="K9" s="18">
        <f>K8*(1-Assumptions!B8)</f>
        <v>3300124771.2546043</v>
      </c>
    </row>
    <row r="10" spans="1:11" x14ac:dyDescent="0.25">
      <c r="A10" t="s">
        <v>53</v>
      </c>
      <c r="B10" s="18">
        <f>B6*Assumptions!B9</f>
        <v>1477891860.6750169</v>
      </c>
      <c r="C10" s="18">
        <f>C6*Assumptions!B9</f>
        <v>1562103499.9907556</v>
      </c>
      <c r="D10" s="18">
        <f>D6*Assumptions!B9</f>
        <v>1644868907.498547</v>
      </c>
      <c r="E10" s="18">
        <f>E6*Assumptions!B9</f>
        <v>1725443947.0888937</v>
      </c>
      <c r="F10" s="18">
        <f>F6*Assumptions!B9</f>
        <v>1803068349.8351738</v>
      </c>
      <c r="G10" s="18">
        <f>G6*Assumptions!B9</f>
        <v>1876976951.7810967</v>
      </c>
      <c r="H10" s="18">
        <f>H6*Assumptions!B9</f>
        <v>1946411669.9098525</v>
      </c>
      <c r="I10" s="18">
        <f>I6*Assumptions!B9</f>
        <v>2010633971.105352</v>
      </c>
      <c r="J10" s="18">
        <f>J6*Assumptions!B9</f>
        <v>2068937561.1492448</v>
      </c>
      <c r="K10" s="18">
        <f>K6*Assumptions!B9</f>
        <v>2120661000.177976</v>
      </c>
    </row>
    <row r="11" spans="1:11" x14ac:dyDescent="0.25">
      <c r="A11" t="s">
        <v>54</v>
      </c>
      <c r="B11" s="18">
        <f>-B6*B19</f>
        <v>-5562155048.748341</v>
      </c>
      <c r="C11" s="18">
        <f>-C6*C19</f>
        <v>-5477524717.562086</v>
      </c>
      <c r="D11" s="18">
        <f>-D6*D19</f>
        <v>-5344898686.778128</v>
      </c>
      <c r="E11" s="18">
        <f>-E6*E19</f>
        <v>-5163165566.699622</v>
      </c>
      <c r="F11" s="18">
        <f>-F6*F19</f>
        <v>-4931935014.2717905</v>
      </c>
      <c r="G11" s="18">
        <f>-G6*G19</f>
        <v>-4651586319.105052</v>
      </c>
      <c r="H11" s="18">
        <f>-H6*H19</f>
        <v>-4323301295.858394</v>
      </c>
      <c r="I11" s="18">
        <f>-I6*I19</f>
        <v>-3949079673.0659037</v>
      </c>
      <c r="J11" s="18">
        <f>-J6*J19</f>
        <v>-3531735625.334289</v>
      </c>
      <c r="K11" s="18">
        <f>-K6*K19</f>
        <v>-3074874627.2888165</v>
      </c>
    </row>
    <row r="12" spans="1:11" x14ac:dyDescent="0.25">
      <c r="A12" t="s">
        <v>55</v>
      </c>
      <c r="B12" s="18">
        <f>-(B6-Assumptions!B29)*Assumptions!B11</f>
        <v>-68345793.05301161</v>
      </c>
      <c r="C12" s="18">
        <f>-(C6-B6)*Assumptions!B11</f>
        <v>-68171609.26910871</v>
      </c>
      <c r="D12" s="18">
        <f>-(D6-C6)*Assumptions!B11</f>
        <v>-67000845.339976884</v>
      </c>
      <c r="E12" s="18">
        <f>-(E6-D6)*Assumptions!B11</f>
        <v>-65227683.01898459</v>
      </c>
      <c r="F12" s="18">
        <f>-(F6-E6)*Assumptions!B11</f>
        <v>-62839062.352492996</v>
      </c>
      <c r="G12" s="18">
        <f>-(G6-F6)*Assumptions!B11</f>
        <v>-59831020.68103159</v>
      </c>
      <c r="H12" s="18">
        <f>-(H6-G6)*Assumptions!B11</f>
        <v>-56209290.21743426</v>
      </c>
      <c r="I12" s="18">
        <f>-(I6-H6)*Assumptions!B11</f>
        <v>-51989697.13732128</v>
      </c>
      <c r="J12" s="18">
        <f>-(J6-I6)*Assumptions!B11</f>
        <v>-47198339.704042874</v>
      </c>
      <c r="K12" s="18">
        <f>-(K6-J6)*Assumptions!B11</f>
        <v>-41871528.736078426</v>
      </c>
    </row>
    <row r="13" spans="1:11" x14ac:dyDescent="0.25">
      <c r="A13" s="19" t="s">
        <v>56</v>
      </c>
      <c r="B13" s="20">
        <f>B9+B10+B11+B12</f>
        <v>-1852747033.2526004</v>
      </c>
      <c r="C13" s="20">
        <f>C9+C10+C11+C12</f>
        <v>-1552682627.0723643</v>
      </c>
      <c r="D13" s="20">
        <f>D9+D10+D11+D12</f>
        <v>-1207322766.2457356</v>
      </c>
      <c r="E13" s="20">
        <f>E9+E10+E11+E12</f>
        <v>-817852386.7523077</v>
      </c>
      <c r="F13" s="20">
        <f>F9+F10+F11+F12</f>
        <v>-385811467.8496377</v>
      </c>
      <c r="G13" s="20">
        <f>G9+G10+G11+G12</f>
        <v>86468768.68102038</v>
      </c>
      <c r="H13" s="20">
        <f>H9+H10+H11+H12</f>
        <v>595862981.2751814</v>
      </c>
      <c r="I13" s="20">
        <f>I9+I10+I11+I12</f>
        <v>1138467793.5453255</v>
      </c>
      <c r="J13" s="20">
        <f>J9+J10+J11+J12</f>
        <v>1709637519.2861366</v>
      </c>
      <c r="K13" s="20">
        <f>K9+K10+K11+K12</f>
        <v>2304039615.4076853</v>
      </c>
    </row>
    <row r="14" spans="1:11" x14ac:dyDescent="0.25">
      <c r="A14" t="s">
        <v>57</v>
      </c>
      <c r="B14" s="21">
        <f>1/(1+Assumptions!$B$26)^(1-0.5*Assumptions!$B$32)</f>
        <v>0.9650402468003096</v>
      </c>
      <c r="C14" s="21">
        <f>1/(1+Assumptions!$B$26)^(2-0.5*Assumptions!$B$32)</f>
        <v>0.8987445661692554</v>
      </c>
      <c r="D14" s="21">
        <f>1/(1+Assumptions!$B$26)^(3-0.5*Assumptions!$B$32)</f>
        <v>0.8370032212614078</v>
      </c>
      <c r="E14" s="21">
        <f>1/(1+Assumptions!$B$26)^(4-0.5*Assumptions!$B$32)</f>
        <v>0.7795033414088404</v>
      </c>
      <c r="F14" s="21">
        <f>1/(1+Assumptions!$B$26)^(5-0.5*Assumptions!$B$32)</f>
        <v>0.7259535493206629</v>
      </c>
      <c r="G14" s="21">
        <f>1/(1+Assumptions!$B$26)^(6-0.5*Assumptions!$B$32)</f>
        <v>0.6760824845455773</v>
      </c>
      <c r="H14" s="21">
        <f>1/(1+Assumptions!$B$26)^(7-0.5*Assumptions!$B$32)</f>
        <v>0.6296374283686013</v>
      </c>
      <c r="I14" s="21">
        <f>1/(1+Assumptions!$B$26)^(8-0.5*Assumptions!$B$32)</f>
        <v>0.5863830231737053</v>
      </c>
      <c r="J14" s="21">
        <f>1/(1+Assumptions!$B$26)^(9-0.5*Assumptions!$B$32)</f>
        <v>0.5461000797828064</v>
      </c>
      <c r="K14" s="21">
        <f>1/(1+Assumptions!$B$26)^(10-0.5*Assumptions!$B$32)</f>
        <v>0.5085844667273794</v>
      </c>
    </row>
    <row r="15" spans="1:11" x14ac:dyDescent="0.25">
      <c r="A15" s="19" t="s">
        <v>58</v>
      </c>
      <c r="B15" s="20">
        <f>B13*B14</f>
        <v>-1787975454.228631</v>
      </c>
      <c r="C15" s="20">
        <f>C13*C14</f>
        <v>-1395465074.0666919</v>
      </c>
      <c r="D15" s="20">
        <f>D13*D14</f>
        <v>-1010533044.4499145</v>
      </c>
      <c r="E15" s="20">
        <f>E13*E14</f>
        <v>-637518668.252619</v>
      </c>
      <c r="F15" s="20">
        <f>F13*F14</f>
        <v>-280081204.4540593</v>
      </c>
      <c r="G15" s="20">
        <f>G13*G14</f>
        <v>58460019.96546106</v>
      </c>
      <c r="H15" s="20">
        <f>H13*H14</f>
        <v>375177635.19015324</v>
      </c>
      <c r="I15" s="20">
        <f>I13*I14</f>
        <v>667578186.5650058</v>
      </c>
      <c r="J15" s="20">
        <f>J13*J14</f>
        <v>933633185.6818384</v>
      </c>
      <c r="K15" s="20">
        <f>K13*K14</f>
        <v>1171798759.1208742</v>
      </c>
    </row>
    <row r="17" spans="1:2" x14ac:dyDescent="0.25">
      <c r="A17" s="22" t="s">
        <v>59</v>
      </c>
      <c r="B17" s="23">
        <f>SUM(B15:K15)</f>
        <v>-1904925658.9285834</v>
      </c>
    </row>
    <row r="19" spans="1:11" x14ac:dyDescent="0.25">
      <c r="A19" t="s">
        <v>7</v>
      </c>
      <c r="B19" s="9">
        <f>Assumptions!$B$10+($B$20-Assumptions!$B$10)*0/9</f>
        <v>0.4356798063880647</v>
      </c>
      <c r="C19" s="9">
        <f>Assumptions!$B$10+($B$20-Assumptions!$B$10)*1/9</f>
        <v>0.40592101695577737</v>
      </c>
      <c r="D19" s="9">
        <f>Assumptions!$B$10+($B$20-Assumptions!$B$10)*2/9</f>
        <v>0.37616222752349004</v>
      </c>
      <c r="E19" s="9">
        <f>Assumptions!$B$10+($B$20-Assumptions!$B$10)*3/9</f>
        <v>0.3464034380912028</v>
      </c>
      <c r="F19" s="9">
        <f>Assumptions!$B$10+($B$20-Assumptions!$B$10)*4/9</f>
        <v>0.3166446486589154</v>
      </c>
      <c r="G19" s="9">
        <f>Assumptions!$B$10+($B$20-Assumptions!$B$10)*5/9</f>
        <v>0.2868858592266281</v>
      </c>
      <c r="H19" s="9">
        <f>Assumptions!$B$10+($B$20-Assumptions!$B$10)*6/9</f>
        <v>0.2571270697943408</v>
      </c>
      <c r="I19" s="9">
        <f>Assumptions!$B$10+($B$20-Assumptions!$B$10)*7/9</f>
        <v>0.22736828036205345</v>
      </c>
      <c r="J19" s="9">
        <f>Assumptions!$B$10+($B$20-Assumptions!$B$10)*8/9</f>
        <v>0.19760949092976615</v>
      </c>
      <c r="K19" s="9">
        <f>Assumptions!$B$10+($B$20-Assumptions!$B$10)*9/9</f>
        <v>0.16785070149747883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0.1678507014974788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2304039615.4076853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3341153203.5043707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0.3007772932087158</v>
      </c>
    </row>
    <row r="7" spans="1:2" x14ac:dyDescent="0.25">
      <c r="A7" t="s">
        <v>66</v>
      </c>
      <c r="B7" s="18">
        <f>-MAX(B5,0)*B6</f>
        <v>-1004943016.7456743</v>
      </c>
    </row>
    <row r="8" spans="1:2" x14ac:dyDescent="0.25">
      <c r="A8" t="s">
        <v>67</v>
      </c>
      <c r="B8" s="18">
        <f>IF(OR(Assumptions!$B$33=0,Assumptions!B12&lt;=0),B5,MAX(B5+B7,0))</f>
        <v>2336210186.7586966</v>
      </c>
    </row>
    <row r="9" spans="1:2" x14ac:dyDescent="0.25">
      <c r="A9" t="s">
        <v>68</v>
      </c>
      <c r="B9" s="18">
        <f>B8*(1+Assumptions!B12)/(Assumptions!B26-Assumptions!B12)</f>
        <v>49105445311.659904</v>
      </c>
    </row>
    <row r="10" spans="1:2" x14ac:dyDescent="0.25">
      <c r="A10" t="s">
        <v>69</v>
      </c>
      <c r="B10" s="18">
        <f>B9/(1+Assumptions!B26)^(10-0.5*Assumptions!B32)</f>
        <v>24974266717.241047</v>
      </c>
    </row>
    <row r="11" spans="1:2" x14ac:dyDescent="0.25">
      <c r="A11" t="s">
        <v>70</v>
      </c>
      <c r="B11" s="18">
        <f>Forecast!B17+B10</f>
        <v>23069341058.31246</v>
      </c>
    </row>
    <row r="12" spans="1:2" x14ac:dyDescent="0.25">
      <c r="A12" t="s">
        <v>71</v>
      </c>
      <c r="B12" s="18">
        <f>-Assumptions!B30</f>
        <v>-16550200000</v>
      </c>
    </row>
    <row r="13" spans="1:2" x14ac:dyDescent="0.25">
      <c r="A13" t="s">
        <v>72</v>
      </c>
      <c r="B13" s="18">
        <f>B11+B12</f>
        <v>6519141058.312462</v>
      </c>
    </row>
    <row r="14" spans="1:2" x14ac:dyDescent="0.25">
      <c r="A14" s="19" t="s">
        <v>73</v>
      </c>
      <c r="B14" s="24">
        <f>B13/Assumptions!B31</f>
        <v>29.27319738802183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6201082946.241922</v>
      </c>
    </row>
    <row r="18" spans="1:2" x14ac:dyDescent="0.25">
      <c r="A18" t="s">
        <v>68</v>
      </c>
      <c r="B18" s="18">
        <f>B17*Assumptions!B13</f>
        <v>121043809707.18507</v>
      </c>
    </row>
    <row r="19" spans="1:2" x14ac:dyDescent="0.25">
      <c r="A19" t="s">
        <v>69</v>
      </c>
      <c r="B19" s="18">
        <f>B18/(1+Assumptions!B26)^(10-0.5*Assumptions!B32)</f>
        <v>61561001410.57912</v>
      </c>
    </row>
    <row r="20" spans="1:2" x14ac:dyDescent="0.25">
      <c r="A20" t="s">
        <v>70</v>
      </c>
      <c r="B20" s="18">
        <f>Forecast!B17+B19</f>
        <v>59656075751.650536</v>
      </c>
    </row>
    <row r="21" spans="1:2" x14ac:dyDescent="0.25">
      <c r="A21" t="s">
        <v>71</v>
      </c>
      <c r="B21" s="18">
        <f>-Assumptions!B30</f>
        <v>-16550200000</v>
      </c>
    </row>
    <row r="22" spans="1:2" x14ac:dyDescent="0.25">
      <c r="A22" t="s">
        <v>72</v>
      </c>
      <c r="B22" s="18">
        <f>B20+B21</f>
        <v>43105875751.650536</v>
      </c>
    </row>
    <row r="23" spans="1:2" x14ac:dyDescent="0.25">
      <c r="A23" s="19" t="s">
        <v>73</v>
      </c>
      <c r="B23" s="25">
        <f>B22/Assumptions!B31</f>
        <v>193.56028626695345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316.03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29.27319738802183</v>
      </c>
    </row>
    <row r="29" spans="1:2" x14ac:dyDescent="0.25">
      <c r="A29" s="19" t="s">
        <v>81</v>
      </c>
      <c r="B29" s="11">
        <f>B28/B26-1</f>
        <v>-0.9073720931936151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0.053765</v>
      </c>
      <c r="B5" s="31">
        <v>120.36506511935984</v>
      </c>
      <c r="C5" s="31">
        <v>130.97868508975628</v>
      </c>
      <c r="D5" s="31">
        <v>146.10058005737955</v>
      </c>
      <c r="E5" s="31">
        <v>168.5762844198061</v>
      </c>
      <c r="F5" s="31">
        <v>204.28414301700627</v>
      </c>
    </row>
    <row r="6" spans="1:6" x14ac:dyDescent="0.25">
      <c r="A6" s="30">
        <v>0.063765</v>
      </c>
      <c r="B6" s="31">
        <v>65.62431214504669</v>
      </c>
      <c r="C6" s="31">
        <v>68.24073825160032</v>
      </c>
      <c r="D6" s="31">
        <v>72.10551218830685</v>
      </c>
      <c r="E6" s="31">
        <v>77.77320873533213</v>
      </c>
      <c r="F6" s="31">
        <v>86.18399264688352</v>
      </c>
    </row>
    <row r="7" spans="1:6" x14ac:dyDescent="0.25">
      <c r="A7" s="30">
        <v>0.073765</v>
      </c>
      <c r="B7" s="31">
        <v>30.25597518095927</v>
      </c>
      <c r="C7" s="31">
        <v>29.614594111900193</v>
      </c>
      <c r="D7" s="32">
        <v>29.272402212827362</v>
      </c>
      <c r="E7" s="31">
        <v>29.331943469798066</v>
      </c>
      <c r="F7" s="31">
        <v>29.948667317628487</v>
      </c>
    </row>
    <row r="8" spans="1:6" x14ac:dyDescent="0.25">
      <c r="A8" s="30">
        <v>0.083765</v>
      </c>
      <c r="B8" s="31">
        <v>5.959059837544668</v>
      </c>
      <c r="C8" s="31">
        <v>3.9879737465949674</v>
      </c>
      <c r="D8" s="31">
        <v>2.0168876556452497</v>
      </c>
      <c r="E8" s="31">
        <v>0.04580156469554927</v>
      </c>
      <c r="F8" s="31">
        <v>-1.9252845262541511</v>
      </c>
    </row>
    <row r="9" spans="1:6" x14ac:dyDescent="0.25">
      <c r="A9" s="30">
        <v>0.093765</v>
      </c>
      <c r="B9" s="31">
        <v>-9.582242774941093</v>
      </c>
      <c r="C9" s="31">
        <v>-11.249007760890375</v>
      </c>
      <c r="D9" s="31">
        <v>-12.915772746839691</v>
      </c>
      <c r="E9" s="31">
        <v>-14.582537732788946</v>
      </c>
      <c r="F9" s="31">
        <v>-16.249302718738253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12037300000</v>
      </c>
      <c r="C5" s="18">
        <v>12100600000</v>
      </c>
      <c r="D5" s="18">
        <v>12600000000</v>
      </c>
      <c r="E5" s="18">
        <v>12698600000</v>
      </c>
      <c r="F5" s="6" t="s">
        <v>91</v>
      </c>
    </row>
    <row r="6" spans="1:6" x14ac:dyDescent="0.25">
      <c r="A6" t="s">
        <v>51</v>
      </c>
      <c r="B6" s="18">
        <v>2889000000</v>
      </c>
      <c r="C6" s="18">
        <v>2947500000</v>
      </c>
      <c r="D6" s="18">
        <v>2739200000</v>
      </c>
      <c r="E6" s="18">
        <v>2412500000</v>
      </c>
      <c r="F6" s="6" t="s">
        <v>92</v>
      </c>
    </row>
    <row r="7" spans="1:6" x14ac:dyDescent="0.25">
      <c r="A7" t="s">
        <v>93</v>
      </c>
      <c r="B7" s="18">
        <v>1564200000</v>
      </c>
      <c r="C7" s="18">
        <v>1451100000</v>
      </c>
      <c r="D7" s="18">
        <v>1358300000</v>
      </c>
      <c r="E7" s="18">
        <v>1338200000</v>
      </c>
      <c r="F7" s="6" t="s">
        <v>94</v>
      </c>
    </row>
    <row r="8" spans="1:6" x14ac:dyDescent="0.25">
      <c r="A8" t="s">
        <v>95</v>
      </c>
      <c r="B8" s="18">
        <v>7022600000</v>
      </c>
      <c r="C8" s="18">
        <v>6796700000</v>
      </c>
      <c r="D8" s="18">
        <v>4626400000</v>
      </c>
      <c r="E8" s="18">
        <v>2926500000</v>
      </c>
      <c r="F8" s="6" t="s">
        <v>96</v>
      </c>
    </row>
    <row r="9" spans="1:6" x14ac:dyDescent="0.25">
      <c r="A9" t="s">
        <v>97</v>
      </c>
      <c r="B9" s="18">
        <v>851600000</v>
      </c>
      <c r="C9" s="18">
        <v>183000000</v>
      </c>
      <c r="D9" s="18">
        <v>424800000</v>
      </c>
      <c r="E9" s="18">
        <v>115800000</v>
      </c>
      <c r="F9" s="6" t="s">
        <v>98</v>
      </c>
    </row>
    <row r="10" spans="1:6" x14ac:dyDescent="0.25">
      <c r="A10" t="s">
        <v>99</v>
      </c>
      <c r="B10" s="18">
        <v>18406200000</v>
      </c>
      <c r="C10" s="18">
        <v>15006100000</v>
      </c>
      <c r="D10" s="18">
        <v>11031600000</v>
      </c>
      <c r="E10" s="18">
        <v>8326900000</v>
      </c>
      <c r="F10" s="6" t="s">
        <v>100</v>
      </c>
    </row>
    <row r="11" spans="1:6" x14ac:dyDescent="0.25">
      <c r="A11" t="s">
        <v>101</v>
      </c>
      <c r="B11" s="18">
        <v>1856000000</v>
      </c>
      <c r="C11" s="18">
        <v>2984700000</v>
      </c>
      <c r="D11" s="18">
        <v>1949200000</v>
      </c>
      <c r="E11" s="18">
        <v>3301700000</v>
      </c>
      <c r="F11" s="6" t="s">
        <v>102</v>
      </c>
    </row>
    <row r="12" spans="1:6" x14ac:dyDescent="0.25">
      <c r="A12" t="s">
        <v>34</v>
      </c>
      <c r="B12" s="34">
        <v>222700000</v>
      </c>
      <c r="C12" s="34">
        <v>222800000</v>
      </c>
      <c r="D12" s="34">
        <v>222700000</v>
      </c>
      <c r="E12" s="34">
        <v>222500000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